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hidePivotFieldList="1" defaultThemeVersion="124226"/>
  <bookViews>
    <workbookView xWindow="0" yWindow="36" windowWidth="20736" windowHeight="9552"/>
  </bookViews>
  <sheets>
    <sheet name="ΥΠΟΛΟΓΙΣΜΟΙ" sheetId="1" r:id="rId1"/>
    <sheet name="ΑΔΙΑΦΑΝΕΙΣ" sheetId="5" r:id="rId2"/>
    <sheet name="ΔΙΑΦΑΝΕΙΣ" sheetId="4" r:id="rId3"/>
    <sheet name="sys" sheetId="3" r:id="rId4"/>
    <sheet name="pin" sheetId="2" r:id="rId5"/>
  </sheets>
  <definedNames>
    <definedName name="_xlnm._FilterDatabase" localSheetId="0" hidden="1">ΥΠΟΛΟΓΙΣΜΟΙ!$A$1:$BZ$115</definedName>
    <definedName name="α" localSheetId="0">sys!$B$3:$C$6</definedName>
    <definedName name="β" localSheetId="0">sys!$B$3:$C$6</definedName>
    <definedName name="ΔΤ">sys!$B$3:$D$6</definedName>
    <definedName name="ΔΤ1">sys!$B$3:$C$6</definedName>
  </definedNames>
  <calcPr calcId="125725"/>
</workbook>
</file>

<file path=xl/calcChain.xml><?xml version="1.0" encoding="utf-8"?>
<calcChain xmlns="http://schemas.openxmlformats.org/spreadsheetml/2006/main">
  <c r="H5" i="4"/>
  <c r="H6"/>
  <c r="H7"/>
  <c r="H8"/>
  <c r="H9"/>
  <c r="H10"/>
  <c r="H11"/>
  <c r="H12"/>
  <c r="H13"/>
  <c r="H14"/>
  <c r="H15"/>
  <c r="H16"/>
  <c r="H17"/>
  <c r="H18"/>
  <c r="H19"/>
  <c r="H20"/>
  <c r="H4"/>
  <c r="I5"/>
  <c r="I6"/>
  <c r="I7"/>
  <c r="I8"/>
  <c r="I9"/>
  <c r="I10"/>
  <c r="I11"/>
  <c r="I12"/>
  <c r="I13"/>
  <c r="I14"/>
  <c r="I15"/>
  <c r="I16"/>
  <c r="I17"/>
  <c r="I18"/>
  <c r="I19"/>
  <c r="I20"/>
  <c r="I4"/>
  <c r="E5"/>
  <c r="E6"/>
  <c r="E7"/>
  <c r="E8"/>
  <c r="E9"/>
  <c r="E10"/>
  <c r="E11"/>
  <c r="E12"/>
  <c r="E13"/>
  <c r="E14"/>
  <c r="E15"/>
  <c r="E16"/>
  <c r="E17"/>
  <c r="E18"/>
  <c r="E19"/>
  <c r="E20"/>
  <c r="D5"/>
  <c r="D6"/>
  <c r="D7"/>
  <c r="D8"/>
  <c r="D9"/>
  <c r="D10"/>
  <c r="D11"/>
  <c r="D12"/>
  <c r="D13"/>
  <c r="D14"/>
  <c r="D15"/>
  <c r="D16"/>
  <c r="D17"/>
  <c r="D18"/>
  <c r="D19"/>
  <c r="D20"/>
  <c r="H5" i="5"/>
  <c r="I5"/>
  <c r="H6"/>
  <c r="I6"/>
  <c r="H7"/>
  <c r="I7"/>
  <c r="H8"/>
  <c r="I8"/>
  <c r="H9"/>
  <c r="I9"/>
  <c r="H10"/>
  <c r="I10"/>
  <c r="H11"/>
  <c r="I11"/>
  <c r="H12"/>
  <c r="I12"/>
  <c r="H13"/>
  <c r="I13"/>
  <c r="H14"/>
  <c r="I14"/>
  <c r="H15"/>
  <c r="I15"/>
  <c r="H16"/>
  <c r="I16"/>
  <c r="H17"/>
  <c r="I17"/>
  <c r="H18"/>
  <c r="I18"/>
  <c r="H19"/>
  <c r="I19"/>
  <c r="H20"/>
  <c r="I20"/>
  <c r="H21"/>
  <c r="I21"/>
  <c r="H22"/>
  <c r="I22"/>
  <c r="H23"/>
  <c r="I23"/>
  <c r="I4"/>
  <c r="H4"/>
  <c r="D5"/>
  <c r="E5"/>
  <c r="D6"/>
  <c r="E6"/>
  <c r="D7"/>
  <c r="E7"/>
  <c r="D8"/>
  <c r="E8"/>
  <c r="D9"/>
  <c r="E9"/>
  <c r="D10"/>
  <c r="E10"/>
  <c r="D11"/>
  <c r="E11"/>
  <c r="D12"/>
  <c r="E12"/>
  <c r="D13"/>
  <c r="E13"/>
  <c r="D14"/>
  <c r="E14"/>
  <c r="D15"/>
  <c r="E15"/>
  <c r="D16"/>
  <c r="E16"/>
  <c r="D17"/>
  <c r="E17"/>
  <c r="D18"/>
  <c r="E18"/>
  <c r="D19"/>
  <c r="E19"/>
  <c r="D20"/>
  <c r="E20"/>
  <c r="D21"/>
  <c r="E21"/>
  <c r="D22"/>
  <c r="E22"/>
  <c r="D23"/>
  <c r="E23"/>
  <c r="E4"/>
  <c r="D4"/>
  <c r="F4" i="4"/>
  <c r="E4"/>
  <c r="D4"/>
  <c r="Q242" i="3"/>
  <c r="Q241"/>
  <c r="Q236"/>
  <c r="Q235"/>
  <c r="E107" i="1"/>
  <c r="M107" s="1"/>
  <c r="O107" s="1"/>
  <c r="K107"/>
  <c r="B15" i="4"/>
  <c r="C15"/>
  <c r="F15"/>
  <c r="G15"/>
  <c r="J15"/>
  <c r="K15"/>
  <c r="L15"/>
  <c r="M15"/>
  <c r="N15"/>
  <c r="O15"/>
  <c r="B16"/>
  <c r="C16"/>
  <c r="F16"/>
  <c r="G16"/>
  <c r="J16"/>
  <c r="K16"/>
  <c r="L16"/>
  <c r="M16"/>
  <c r="N16"/>
  <c r="O16"/>
  <c r="B17"/>
  <c r="C17"/>
  <c r="F17"/>
  <c r="G17"/>
  <c r="J17"/>
  <c r="K17"/>
  <c r="L17"/>
  <c r="M17"/>
  <c r="N17"/>
  <c r="O17"/>
  <c r="B18"/>
  <c r="C18"/>
  <c r="F18"/>
  <c r="G18"/>
  <c r="J18"/>
  <c r="K18"/>
  <c r="L18"/>
  <c r="M18"/>
  <c r="N18"/>
  <c r="O18"/>
  <c r="B19"/>
  <c r="C19"/>
  <c r="F19"/>
  <c r="G19"/>
  <c r="J19"/>
  <c r="K19"/>
  <c r="L19"/>
  <c r="M19"/>
  <c r="N19"/>
  <c r="O19"/>
  <c r="B20"/>
  <c r="C20"/>
  <c r="F20"/>
  <c r="G20"/>
  <c r="F58" i="1"/>
  <c r="G58"/>
  <c r="V58"/>
  <c r="AE58" s="1"/>
  <c r="X58"/>
  <c r="AF58" s="1"/>
  <c r="AG58"/>
  <c r="BL58" s="1"/>
  <c r="AH58"/>
  <c r="BP58" s="1"/>
  <c r="AI58"/>
  <c r="AN58"/>
  <c r="AW58"/>
  <c r="AX58"/>
  <c r="BU58"/>
  <c r="BX58" s="1"/>
  <c r="BV58"/>
  <c r="BY58" s="1"/>
  <c r="AM58" s="1"/>
  <c r="BZ58"/>
  <c r="F59"/>
  <c r="G59" s="1"/>
  <c r="V59"/>
  <c r="X59"/>
  <c r="AE59"/>
  <c r="AF59"/>
  <c r="BF59" s="1"/>
  <c r="AG59"/>
  <c r="AH59"/>
  <c r="AI59"/>
  <c r="BV59" s="1"/>
  <c r="AN59"/>
  <c r="AX59" s="1"/>
  <c r="AY59"/>
  <c r="BB59" s="1"/>
  <c r="AZ59"/>
  <c r="BK59"/>
  <c r="BN59" s="1"/>
  <c r="BL59"/>
  <c r="BO59"/>
  <c r="BR59" s="1"/>
  <c r="BP59"/>
  <c r="F60"/>
  <c r="G60"/>
  <c r="V60"/>
  <c r="AE60" s="1"/>
  <c r="X60"/>
  <c r="AF60" s="1"/>
  <c r="AG60"/>
  <c r="BL60" s="1"/>
  <c r="AH60"/>
  <c r="BP60" s="1"/>
  <c r="AI60"/>
  <c r="AN60"/>
  <c r="AW60"/>
  <c r="AX60"/>
  <c r="BU60"/>
  <c r="BX60" s="1"/>
  <c r="BV60"/>
  <c r="BY60" s="1"/>
  <c r="BZ60"/>
  <c r="F61"/>
  <c r="G61" s="1"/>
  <c r="V61"/>
  <c r="X61"/>
  <c r="AE61"/>
  <c r="AF61"/>
  <c r="BF61" s="1"/>
  <c r="AG61"/>
  <c r="AH61"/>
  <c r="AI61"/>
  <c r="BV61" s="1"/>
  <c r="AN61"/>
  <c r="AX61" s="1"/>
  <c r="AY61"/>
  <c r="BB61" s="1"/>
  <c r="AZ61"/>
  <c r="BK61"/>
  <c r="BN61" s="1"/>
  <c r="BL61"/>
  <c r="BO61"/>
  <c r="BR61" s="1"/>
  <c r="BP61"/>
  <c r="F62"/>
  <c r="G62"/>
  <c r="V62"/>
  <c r="AE62" s="1"/>
  <c r="X62"/>
  <c r="AF62" s="1"/>
  <c r="AG62"/>
  <c r="BL62" s="1"/>
  <c r="AH62"/>
  <c r="BP62" s="1"/>
  <c r="AI62"/>
  <c r="AN62"/>
  <c r="BU62"/>
  <c r="BV62"/>
  <c r="B18" i="5"/>
  <c r="C18"/>
  <c r="F18"/>
  <c r="G18"/>
  <c r="J18"/>
  <c r="K18"/>
  <c r="L18"/>
  <c r="M18"/>
  <c r="N18"/>
  <c r="O18"/>
  <c r="B19"/>
  <c r="C19"/>
  <c r="F19"/>
  <c r="G19"/>
  <c r="J19"/>
  <c r="K19"/>
  <c r="L19"/>
  <c r="M19"/>
  <c r="N19"/>
  <c r="O19"/>
  <c r="B20"/>
  <c r="C20"/>
  <c r="F20"/>
  <c r="G20"/>
  <c r="J20"/>
  <c r="K20"/>
  <c r="L20"/>
  <c r="M20"/>
  <c r="N20"/>
  <c r="O20"/>
  <c r="B21"/>
  <c r="C21"/>
  <c r="F21"/>
  <c r="G21"/>
  <c r="J21"/>
  <c r="K21"/>
  <c r="L21"/>
  <c r="M21"/>
  <c r="N21"/>
  <c r="O21"/>
  <c r="B22"/>
  <c r="C22"/>
  <c r="F22"/>
  <c r="G22"/>
  <c r="J22"/>
  <c r="K22"/>
  <c r="L22"/>
  <c r="M22"/>
  <c r="N22"/>
  <c r="O22"/>
  <c r="B23"/>
  <c r="C23"/>
  <c r="F23"/>
  <c r="G23"/>
  <c r="E31" i="1"/>
  <c r="G31" s="1"/>
  <c r="K31" s="1"/>
  <c r="AE31"/>
  <c r="AF31"/>
  <c r="BE31" s="1"/>
  <c r="AG31"/>
  <c r="AH31"/>
  <c r="AI31"/>
  <c r="AN31"/>
  <c r="AW31" s="1"/>
  <c r="AY31"/>
  <c r="AZ31"/>
  <c r="BF31"/>
  <c r="BK31"/>
  <c r="BM31" s="1"/>
  <c r="BL31"/>
  <c r="BO31"/>
  <c r="BQ31" s="1"/>
  <c r="BP31"/>
  <c r="BU31"/>
  <c r="BV31"/>
  <c r="E32"/>
  <c r="G32" s="1"/>
  <c r="K32" s="1"/>
  <c r="AE32"/>
  <c r="AZ32" s="1"/>
  <c r="AF32"/>
  <c r="AG32"/>
  <c r="BL32" s="1"/>
  <c r="AH32"/>
  <c r="AI32"/>
  <c r="AN32"/>
  <c r="AW32"/>
  <c r="BC32" s="1"/>
  <c r="AX32"/>
  <c r="AY32"/>
  <c r="BD32" s="1"/>
  <c r="BE32"/>
  <c r="BH32" s="1"/>
  <c r="BF32"/>
  <c r="BI32"/>
  <c r="BJ32"/>
  <c r="BK32"/>
  <c r="BO32"/>
  <c r="BT32" s="1"/>
  <c r="BP32"/>
  <c r="BQ32"/>
  <c r="BR32"/>
  <c r="BS32"/>
  <c r="AK32" s="1"/>
  <c r="BU32"/>
  <c r="BX32" s="1"/>
  <c r="BV32"/>
  <c r="BY32"/>
  <c r="E33"/>
  <c r="G33" s="1"/>
  <c r="K33" s="1"/>
  <c r="AE33"/>
  <c r="AF33"/>
  <c r="BF33" s="1"/>
  <c r="AG33"/>
  <c r="BK33" s="1"/>
  <c r="AH33"/>
  <c r="BO33" s="1"/>
  <c r="AI33"/>
  <c r="AN33"/>
  <c r="AX33" s="1"/>
  <c r="AY33"/>
  <c r="AZ33"/>
  <c r="BL33"/>
  <c r="BP33"/>
  <c r="BU33"/>
  <c r="BV33"/>
  <c r="E34"/>
  <c r="G34"/>
  <c r="K34" s="1"/>
  <c r="AE34"/>
  <c r="AZ34" s="1"/>
  <c r="AF34"/>
  <c r="BF34" s="1"/>
  <c r="AG34"/>
  <c r="AH34"/>
  <c r="AI34"/>
  <c r="BV34" s="1"/>
  <c r="AN34"/>
  <c r="AX34" s="1"/>
  <c r="AY34"/>
  <c r="BB34" s="1"/>
  <c r="BK34"/>
  <c r="BN34" s="1"/>
  <c r="BL34"/>
  <c r="BO34"/>
  <c r="BR34" s="1"/>
  <c r="BP34"/>
  <c r="E35"/>
  <c r="G35" s="1"/>
  <c r="K35" s="1"/>
  <c r="AE35"/>
  <c r="AZ35" s="1"/>
  <c r="BB35" s="1"/>
  <c r="AF35"/>
  <c r="BE35" s="1"/>
  <c r="AG35"/>
  <c r="AH35"/>
  <c r="BP35" s="1"/>
  <c r="AI35"/>
  <c r="BU35" s="1"/>
  <c r="AN35"/>
  <c r="AW35" s="1"/>
  <c r="BC35" s="1"/>
  <c r="AX35"/>
  <c r="AY35"/>
  <c r="BA35" s="1"/>
  <c r="BF35"/>
  <c r="BK35"/>
  <c r="BM35" s="1"/>
  <c r="BL35"/>
  <c r="BN35"/>
  <c r="BV35"/>
  <c r="E36"/>
  <c r="G36" s="1"/>
  <c r="K36" s="1"/>
  <c r="AE36"/>
  <c r="AZ36" s="1"/>
  <c r="AF36"/>
  <c r="AG36"/>
  <c r="BL36" s="1"/>
  <c r="AH36"/>
  <c r="BP36" s="1"/>
  <c r="AI36"/>
  <c r="AN36"/>
  <c r="AX36" s="1"/>
  <c r="AY36"/>
  <c r="BE36"/>
  <c r="BF36"/>
  <c r="BU36"/>
  <c r="BV36"/>
  <c r="D43"/>
  <c r="M41"/>
  <c r="R41" s="1"/>
  <c r="O239" i="3"/>
  <c r="O238"/>
  <c r="O233"/>
  <c r="O232"/>
  <c r="O227"/>
  <c r="Q229" s="1"/>
  <c r="O226"/>
  <c r="B13" i="4"/>
  <c r="C13"/>
  <c r="F13"/>
  <c r="G13"/>
  <c r="J13"/>
  <c r="K13"/>
  <c r="L13"/>
  <c r="M13"/>
  <c r="N13"/>
  <c r="O13"/>
  <c r="B14"/>
  <c r="C14"/>
  <c r="F14"/>
  <c r="G14"/>
  <c r="J14"/>
  <c r="K14"/>
  <c r="L14"/>
  <c r="M14"/>
  <c r="N14"/>
  <c r="O14"/>
  <c r="V55" i="1"/>
  <c r="AE55" s="1"/>
  <c r="X55"/>
  <c r="AF55" s="1"/>
  <c r="BF55" s="1"/>
  <c r="AG55"/>
  <c r="BK55" s="1"/>
  <c r="AH55"/>
  <c r="BO55" s="1"/>
  <c r="AI55"/>
  <c r="BV55" s="1"/>
  <c r="AN55"/>
  <c r="AX55" s="1"/>
  <c r="BL55"/>
  <c r="V56"/>
  <c r="AE56" s="1"/>
  <c r="AZ56" s="1"/>
  <c r="X56"/>
  <c r="AF56" s="1"/>
  <c r="BF56" s="1"/>
  <c r="AG56"/>
  <c r="BL56" s="1"/>
  <c r="AH56"/>
  <c r="BP56" s="1"/>
  <c r="AI56"/>
  <c r="BV56" s="1"/>
  <c r="AN56"/>
  <c r="AX56" s="1"/>
  <c r="BK56"/>
  <c r="BO56"/>
  <c r="V57"/>
  <c r="AE57" s="1"/>
  <c r="X57"/>
  <c r="AF57" s="1"/>
  <c r="BF57" s="1"/>
  <c r="AG57"/>
  <c r="BL57" s="1"/>
  <c r="AH57"/>
  <c r="AI57"/>
  <c r="BV57" s="1"/>
  <c r="AN57"/>
  <c r="AX57" s="1"/>
  <c r="BO57"/>
  <c r="BP57"/>
  <c r="F55"/>
  <c r="G55" s="1"/>
  <c r="F56"/>
  <c r="G56" s="1"/>
  <c r="F57"/>
  <c r="G57" s="1"/>
  <c r="B15" i="5"/>
  <c r="C15"/>
  <c r="F15"/>
  <c r="G15"/>
  <c r="J15"/>
  <c r="K15"/>
  <c r="L15"/>
  <c r="M15"/>
  <c r="N15"/>
  <c r="O15"/>
  <c r="B16"/>
  <c r="C16"/>
  <c r="F16"/>
  <c r="G16"/>
  <c r="J16"/>
  <c r="K16"/>
  <c r="L16"/>
  <c r="M16"/>
  <c r="N16"/>
  <c r="O16"/>
  <c r="B17"/>
  <c r="C17"/>
  <c r="F17"/>
  <c r="G17"/>
  <c r="J17"/>
  <c r="K17"/>
  <c r="L17"/>
  <c r="M17"/>
  <c r="N17"/>
  <c r="O17"/>
  <c r="E30" i="1"/>
  <c r="G30" s="1"/>
  <c r="K30" s="1"/>
  <c r="AE30"/>
  <c r="AY30" s="1"/>
  <c r="AF30"/>
  <c r="BE30" s="1"/>
  <c r="AG30"/>
  <c r="BL30" s="1"/>
  <c r="AH30"/>
  <c r="BP30" s="1"/>
  <c r="AI30"/>
  <c r="BU30" s="1"/>
  <c r="AN30"/>
  <c r="AW30" s="1"/>
  <c r="BK30"/>
  <c r="J96"/>
  <c r="J95"/>
  <c r="N78"/>
  <c r="O78" s="1"/>
  <c r="N79"/>
  <c r="O79" s="1"/>
  <c r="N80"/>
  <c r="O80" s="1"/>
  <c r="N77"/>
  <c r="O77" s="1"/>
  <c r="N86"/>
  <c r="O86" s="1"/>
  <c r="N87"/>
  <c r="O87" s="1"/>
  <c r="N88"/>
  <c r="O88" s="1"/>
  <c r="N89"/>
  <c r="O89" s="1"/>
  <c r="N85"/>
  <c r="O85" s="1"/>
  <c r="L37"/>
  <c r="G85"/>
  <c r="S296" i="3"/>
  <c r="S295"/>
  <c r="S294"/>
  <c r="Q296" s="1"/>
  <c r="S293"/>
  <c r="S292"/>
  <c r="F70" i="1"/>
  <c r="R30" i="5"/>
  <c r="R29"/>
  <c r="R28"/>
  <c r="T28" i="4"/>
  <c r="T27"/>
  <c r="T26"/>
  <c r="G7" i="5"/>
  <c r="G8"/>
  <c r="G9"/>
  <c r="G10"/>
  <c r="G11"/>
  <c r="G12"/>
  <c r="G13"/>
  <c r="G14"/>
  <c r="G4"/>
  <c r="F6"/>
  <c r="F7"/>
  <c r="F8"/>
  <c r="F9"/>
  <c r="F10"/>
  <c r="F11"/>
  <c r="F12"/>
  <c r="F13"/>
  <c r="F14"/>
  <c r="F4"/>
  <c r="O5" i="4"/>
  <c r="O6"/>
  <c r="O7"/>
  <c r="O8"/>
  <c r="O9"/>
  <c r="O10"/>
  <c r="O11"/>
  <c r="O12"/>
  <c r="N5"/>
  <c r="N6"/>
  <c r="N7"/>
  <c r="N8"/>
  <c r="N9"/>
  <c r="N10"/>
  <c r="N11"/>
  <c r="N12"/>
  <c r="M5"/>
  <c r="M6"/>
  <c r="M7"/>
  <c r="M8"/>
  <c r="M9"/>
  <c r="M10"/>
  <c r="M11"/>
  <c r="M12"/>
  <c r="L5"/>
  <c r="L6"/>
  <c r="L7"/>
  <c r="L8"/>
  <c r="L9"/>
  <c r="L10"/>
  <c r="L11"/>
  <c r="L12"/>
  <c r="K5"/>
  <c r="K6"/>
  <c r="K7"/>
  <c r="K8"/>
  <c r="K9"/>
  <c r="K10"/>
  <c r="K11"/>
  <c r="K12"/>
  <c r="J5"/>
  <c r="J6"/>
  <c r="J7"/>
  <c r="J8"/>
  <c r="J9"/>
  <c r="J10"/>
  <c r="J11"/>
  <c r="J12"/>
  <c r="O7" i="5"/>
  <c r="O8"/>
  <c r="O9"/>
  <c r="O10"/>
  <c r="O11"/>
  <c r="O12"/>
  <c r="O13"/>
  <c r="O14"/>
  <c r="N7"/>
  <c r="N8"/>
  <c r="N9"/>
  <c r="N10"/>
  <c r="N11"/>
  <c r="N12"/>
  <c r="N13"/>
  <c r="N14"/>
  <c r="M7"/>
  <c r="M8"/>
  <c r="M9"/>
  <c r="M10"/>
  <c r="M11"/>
  <c r="M12"/>
  <c r="M13"/>
  <c r="M14"/>
  <c r="L7"/>
  <c r="L8"/>
  <c r="L9"/>
  <c r="L10"/>
  <c r="L11"/>
  <c r="L12"/>
  <c r="L13"/>
  <c r="L14"/>
  <c r="K7"/>
  <c r="K8"/>
  <c r="K9"/>
  <c r="K10"/>
  <c r="K11"/>
  <c r="K12"/>
  <c r="K13"/>
  <c r="K14"/>
  <c r="J7"/>
  <c r="J8"/>
  <c r="J9"/>
  <c r="J10"/>
  <c r="J11"/>
  <c r="J12"/>
  <c r="J13"/>
  <c r="J14"/>
  <c r="B5" i="4"/>
  <c r="C5"/>
  <c r="F5"/>
  <c r="G5"/>
  <c r="B6"/>
  <c r="C6"/>
  <c r="F6"/>
  <c r="G6"/>
  <c r="B7"/>
  <c r="C7"/>
  <c r="F7"/>
  <c r="G7"/>
  <c r="B8"/>
  <c r="C8"/>
  <c r="F8"/>
  <c r="G8"/>
  <c r="B9"/>
  <c r="C9"/>
  <c r="F9"/>
  <c r="G9"/>
  <c r="B10"/>
  <c r="C10"/>
  <c r="F10"/>
  <c r="G10"/>
  <c r="B11"/>
  <c r="C11"/>
  <c r="F11"/>
  <c r="G11"/>
  <c r="B12"/>
  <c r="C12"/>
  <c r="F12"/>
  <c r="G12"/>
  <c r="G4"/>
  <c r="C4"/>
  <c r="B4"/>
  <c r="B5" i="5"/>
  <c r="B6"/>
  <c r="B7"/>
  <c r="B8"/>
  <c r="B9"/>
  <c r="B10"/>
  <c r="B11"/>
  <c r="B12"/>
  <c r="B13"/>
  <c r="B14"/>
  <c r="B4"/>
  <c r="C5"/>
  <c r="C6"/>
  <c r="C7"/>
  <c r="C8"/>
  <c r="C9"/>
  <c r="C10"/>
  <c r="C11"/>
  <c r="C12"/>
  <c r="C13"/>
  <c r="C14"/>
  <c r="C4"/>
  <c r="M171" i="3"/>
  <c r="K171"/>
  <c r="N170"/>
  <c r="M170"/>
  <c r="C15" i="1"/>
  <c r="G9"/>
  <c r="Q230" i="3" l="1"/>
  <c r="O42" i="1"/>
  <c r="AW36"/>
  <c r="BI36" s="1"/>
  <c r="BX36"/>
  <c r="BD36"/>
  <c r="BH36"/>
  <c r="AX62"/>
  <c r="BZ62" s="1"/>
  <c r="AW62"/>
  <c r="BY62"/>
  <c r="AM60"/>
  <c r="AJ32"/>
  <c r="AZ62"/>
  <c r="AY62"/>
  <c r="BD61"/>
  <c r="BT61"/>
  <c r="BD59"/>
  <c r="BT59"/>
  <c r="AZ60"/>
  <c r="AY60"/>
  <c r="AZ58"/>
  <c r="AY58"/>
  <c r="BF62"/>
  <c r="BE62"/>
  <c r="BF60"/>
  <c r="BE60"/>
  <c r="BF58"/>
  <c r="BE58"/>
  <c r="BW62"/>
  <c r="BO62"/>
  <c r="BK62"/>
  <c r="BU61"/>
  <c r="BE61"/>
  <c r="AW61"/>
  <c r="BA61" s="1"/>
  <c r="O61" s="1"/>
  <c r="BW60"/>
  <c r="AL60" s="1"/>
  <c r="BO60"/>
  <c r="BK60"/>
  <c r="BU59"/>
  <c r="BM59"/>
  <c r="BE59"/>
  <c r="BA59"/>
  <c r="O59" s="1"/>
  <c r="AW59"/>
  <c r="BW58"/>
  <c r="AL58" s="1"/>
  <c r="BO58"/>
  <c r="BK58"/>
  <c r="BB36"/>
  <c r="R32"/>
  <c r="P32"/>
  <c r="O35"/>
  <c r="BB33"/>
  <c r="BD33"/>
  <c r="BX33"/>
  <c r="BB32"/>
  <c r="BA32"/>
  <c r="BY35"/>
  <c r="BX35"/>
  <c r="BW35"/>
  <c r="BZ35"/>
  <c r="BN33"/>
  <c r="BY31"/>
  <c r="BC31"/>
  <c r="BS31"/>
  <c r="BW31"/>
  <c r="BI31"/>
  <c r="BG31"/>
  <c r="BI35"/>
  <c r="R35" s="1"/>
  <c r="BH35"/>
  <c r="BG35"/>
  <c r="BJ35"/>
  <c r="BR33"/>
  <c r="BT33"/>
  <c r="BN32"/>
  <c r="BM32"/>
  <c r="BA31"/>
  <c r="AX31"/>
  <c r="BZ36"/>
  <c r="BJ36"/>
  <c r="R36" s="1"/>
  <c r="M23" i="5" s="1"/>
  <c r="BO35" i="1"/>
  <c r="BT34"/>
  <c r="BD34"/>
  <c r="BE33"/>
  <c r="AW33"/>
  <c r="BZ32"/>
  <c r="AM32" s="1"/>
  <c r="T32" s="1"/>
  <c r="AZ30"/>
  <c r="BO36"/>
  <c r="BK36"/>
  <c r="BD35"/>
  <c r="P35" s="1"/>
  <c r="BU34"/>
  <c r="BM34"/>
  <c r="BE34"/>
  <c r="BA34"/>
  <c r="O34" s="1"/>
  <c r="AW34"/>
  <c r="BZ33"/>
  <c r="BW32"/>
  <c r="AL32" s="1"/>
  <c r="S32" s="1"/>
  <c r="BG32"/>
  <c r="Q32" s="1"/>
  <c r="I43"/>
  <c r="O41"/>
  <c r="T42"/>
  <c r="N171" i="3" s="1"/>
  <c r="N174" s="1"/>
  <c r="T41" i="1"/>
  <c r="BF30"/>
  <c r="BV30"/>
  <c r="BW30" s="1"/>
  <c r="BA30"/>
  <c r="BC30"/>
  <c r="AX30"/>
  <c r="BZ30" s="1"/>
  <c r="BM30"/>
  <c r="BP55"/>
  <c r="BT55" s="1"/>
  <c r="BR57"/>
  <c r="BR56"/>
  <c r="BN55"/>
  <c r="AZ57"/>
  <c r="AY57"/>
  <c r="AZ55"/>
  <c r="AY55"/>
  <c r="BK57"/>
  <c r="BN57" s="1"/>
  <c r="AY56"/>
  <c r="BB56" s="1"/>
  <c r="BN56"/>
  <c r="BT57"/>
  <c r="BT56"/>
  <c r="BU57"/>
  <c r="BE57"/>
  <c r="AW57"/>
  <c r="BU56"/>
  <c r="BE56"/>
  <c r="AW56"/>
  <c r="BU55"/>
  <c r="BE55"/>
  <c r="AW55"/>
  <c r="BM55" s="1"/>
  <c r="BY30"/>
  <c r="BI30"/>
  <c r="BH30"/>
  <c r="BG30"/>
  <c r="BO30"/>
  <c r="R316" i="3"/>
  <c r="R317"/>
  <c r="N173"/>
  <c r="O213"/>
  <c r="S211" s="1"/>
  <c r="O212"/>
  <c r="O211"/>
  <c r="O210"/>
  <c r="Q211" s="1"/>
  <c r="O209"/>
  <c r="O206"/>
  <c r="S204" s="1"/>
  <c r="O205"/>
  <c r="O204"/>
  <c r="O203"/>
  <c r="O202"/>
  <c r="P102" i="1"/>
  <c r="P101"/>
  <c r="X54"/>
  <c r="X47"/>
  <c r="X48"/>
  <c r="X49"/>
  <c r="X50"/>
  <c r="X51"/>
  <c r="X52"/>
  <c r="X53"/>
  <c r="V47"/>
  <c r="V48"/>
  <c r="V49"/>
  <c r="V50"/>
  <c r="V51"/>
  <c r="V52"/>
  <c r="V53"/>
  <c r="V54"/>
  <c r="E18"/>
  <c r="G18" s="1"/>
  <c r="E19"/>
  <c r="G19" s="1"/>
  <c r="K19" s="1"/>
  <c r="E20"/>
  <c r="G20" s="1"/>
  <c r="K20" s="1"/>
  <c r="E21"/>
  <c r="G21" s="1"/>
  <c r="K21" s="1"/>
  <c r="E22"/>
  <c r="G22" s="1"/>
  <c r="K22" s="1"/>
  <c r="E23"/>
  <c r="G23" s="1"/>
  <c r="K23" s="1"/>
  <c r="E24"/>
  <c r="G24" s="1"/>
  <c r="K24" s="1"/>
  <c r="E25"/>
  <c r="G25" s="1"/>
  <c r="K25" s="1"/>
  <c r="E26"/>
  <c r="G26" s="1"/>
  <c r="K26" s="1"/>
  <c r="E27"/>
  <c r="G27" s="1"/>
  <c r="K27" s="1"/>
  <c r="E28"/>
  <c r="G28" s="1"/>
  <c r="K28" s="1"/>
  <c r="E29"/>
  <c r="G29" s="1"/>
  <c r="K29" s="1"/>
  <c r="E17"/>
  <c r="G17" s="1"/>
  <c r="K17" s="1"/>
  <c r="F47"/>
  <c r="G47" s="1"/>
  <c r="F48"/>
  <c r="G48" s="1"/>
  <c r="F49"/>
  <c r="G49" s="1"/>
  <c r="M42" s="1"/>
  <c r="R42" s="1"/>
  <c r="F50"/>
  <c r="G50" s="1"/>
  <c r="F51"/>
  <c r="G51" s="1"/>
  <c r="F52"/>
  <c r="G52" s="1"/>
  <c r="F53"/>
  <c r="G53" s="1"/>
  <c r="F54"/>
  <c r="G54" s="1"/>
  <c r="F46"/>
  <c r="G46" s="1"/>
  <c r="R37" i="3"/>
  <c r="S39" s="1"/>
  <c r="R76" i="1" s="1"/>
  <c r="U41" i="3"/>
  <c r="U40"/>
  <c r="S40"/>
  <c r="S41"/>
  <c r="Q153"/>
  <c r="Q152"/>
  <c r="Q151"/>
  <c r="I161"/>
  <c r="I162"/>
  <c r="J165" s="1"/>
  <c r="I160"/>
  <c r="J164" s="1"/>
  <c r="O104"/>
  <c r="O102"/>
  <c r="O103"/>
  <c r="O101"/>
  <c r="P106" s="1"/>
  <c r="AG47" i="1"/>
  <c r="BK47" s="1"/>
  <c r="AG48"/>
  <c r="BK48" s="1"/>
  <c r="AG49"/>
  <c r="BL49" s="1"/>
  <c r="AG52"/>
  <c r="BK52" s="1"/>
  <c r="AG53"/>
  <c r="BL53" s="1"/>
  <c r="AG54"/>
  <c r="BL54" s="1"/>
  <c r="AG18"/>
  <c r="BK18" s="1"/>
  <c r="AG19"/>
  <c r="BK19" s="1"/>
  <c r="AG20"/>
  <c r="BL20" s="1"/>
  <c r="AG21"/>
  <c r="BK21" s="1"/>
  <c r="AG22"/>
  <c r="BL22" s="1"/>
  <c r="AG23"/>
  <c r="BL23" s="1"/>
  <c r="AG24"/>
  <c r="BK24" s="1"/>
  <c r="AG25"/>
  <c r="BL25" s="1"/>
  <c r="AG26"/>
  <c r="BK26" s="1"/>
  <c r="AG27"/>
  <c r="BL27" s="1"/>
  <c r="AG28"/>
  <c r="BL28" s="1"/>
  <c r="AG29"/>
  <c r="BK29" s="1"/>
  <c r="AG17"/>
  <c r="BK17" s="1"/>
  <c r="AN47"/>
  <c r="AN48"/>
  <c r="AW48" s="1"/>
  <c r="AN49"/>
  <c r="AW49" s="1"/>
  <c r="AN50"/>
  <c r="AN51"/>
  <c r="AW51" s="1"/>
  <c r="AN52"/>
  <c r="AX52" s="1"/>
  <c r="AN53"/>
  <c r="AW53" s="1"/>
  <c r="AN54"/>
  <c r="AX54" s="1"/>
  <c r="AN46"/>
  <c r="AI47"/>
  <c r="BV47" s="1"/>
  <c r="AI48"/>
  <c r="BV48" s="1"/>
  <c r="AI49"/>
  <c r="BV49" s="1"/>
  <c r="AI50"/>
  <c r="BV50" s="1"/>
  <c r="AI51"/>
  <c r="BV51" s="1"/>
  <c r="AI52"/>
  <c r="BV52" s="1"/>
  <c r="AI53"/>
  <c r="BV53" s="1"/>
  <c r="AI54"/>
  <c r="BV54" s="1"/>
  <c r="AI46"/>
  <c r="BV46" s="1"/>
  <c r="AH47"/>
  <c r="BP47" s="1"/>
  <c r="AH48"/>
  <c r="BP48" s="1"/>
  <c r="AH49"/>
  <c r="BP49" s="1"/>
  <c r="AH50"/>
  <c r="BO50" s="1"/>
  <c r="AH51"/>
  <c r="BP51" s="1"/>
  <c r="AH52"/>
  <c r="BO52" s="1"/>
  <c r="AH53"/>
  <c r="BP53" s="1"/>
  <c r="AH54"/>
  <c r="BO54" s="1"/>
  <c r="AH46"/>
  <c r="BP46" s="1"/>
  <c r="AI18"/>
  <c r="BU18" s="1"/>
  <c r="AI19"/>
  <c r="BV19" s="1"/>
  <c r="AI20"/>
  <c r="AI21"/>
  <c r="BV21" s="1"/>
  <c r="AI22"/>
  <c r="BU22" s="1"/>
  <c r="AI23"/>
  <c r="BU23" s="1"/>
  <c r="AI24"/>
  <c r="BU24" s="1"/>
  <c r="AI25"/>
  <c r="BV25" s="1"/>
  <c r="AI26"/>
  <c r="BU26" s="1"/>
  <c r="AI27"/>
  <c r="BU27" s="1"/>
  <c r="AI28"/>
  <c r="BU28" s="1"/>
  <c r="AI29"/>
  <c r="BV29" s="1"/>
  <c r="AI17"/>
  <c r="BU17" s="1"/>
  <c r="AH18"/>
  <c r="BP18" s="1"/>
  <c r="AH19"/>
  <c r="BP19" s="1"/>
  <c r="AH20"/>
  <c r="BO20" s="1"/>
  <c r="AH21"/>
  <c r="BP21" s="1"/>
  <c r="AH22"/>
  <c r="BP22" s="1"/>
  <c r="AH23"/>
  <c r="BO23" s="1"/>
  <c r="AH24"/>
  <c r="BP24" s="1"/>
  <c r="AH25"/>
  <c r="BP25" s="1"/>
  <c r="AH26"/>
  <c r="BP26" s="1"/>
  <c r="AH27"/>
  <c r="BP27" s="1"/>
  <c r="AH28"/>
  <c r="BP28" s="1"/>
  <c r="AH29"/>
  <c r="BP29" s="1"/>
  <c r="AH17"/>
  <c r="BO17" s="1"/>
  <c r="BK20"/>
  <c r="AF18"/>
  <c r="BE18" s="1"/>
  <c r="AF19"/>
  <c r="BE19" s="1"/>
  <c r="AF20"/>
  <c r="BE20" s="1"/>
  <c r="AF21"/>
  <c r="BF21" s="1"/>
  <c r="AF22"/>
  <c r="BF22" s="1"/>
  <c r="AF23"/>
  <c r="BF23" s="1"/>
  <c r="AF24"/>
  <c r="BF24" s="1"/>
  <c r="AF25"/>
  <c r="BF25" s="1"/>
  <c r="AF26"/>
  <c r="BF26" s="1"/>
  <c r="AF27"/>
  <c r="BE27" s="1"/>
  <c r="AF28"/>
  <c r="BF28" s="1"/>
  <c r="AF29"/>
  <c r="BF29" s="1"/>
  <c r="AF17"/>
  <c r="BE17" s="1"/>
  <c r="AN18"/>
  <c r="AN19"/>
  <c r="AN20"/>
  <c r="AW20" s="1"/>
  <c r="AN21"/>
  <c r="AN22"/>
  <c r="AN23"/>
  <c r="AW23" s="1"/>
  <c r="AN24"/>
  <c r="AW24" s="1"/>
  <c r="AN25"/>
  <c r="AN26"/>
  <c r="AN27"/>
  <c r="AN28"/>
  <c r="AW28" s="1"/>
  <c r="AN29"/>
  <c r="AE18"/>
  <c r="AY18" s="1"/>
  <c r="AE19"/>
  <c r="AZ19" s="1"/>
  <c r="AE20"/>
  <c r="AY20" s="1"/>
  <c r="AE21"/>
  <c r="AZ21" s="1"/>
  <c r="AE22"/>
  <c r="AZ22" s="1"/>
  <c r="AE23"/>
  <c r="AZ23" s="1"/>
  <c r="AE24"/>
  <c r="AY24" s="1"/>
  <c r="AE25"/>
  <c r="AZ25" s="1"/>
  <c r="AE26"/>
  <c r="AY26" s="1"/>
  <c r="AE27"/>
  <c r="AY27" s="1"/>
  <c r="AE28"/>
  <c r="AZ28" s="1"/>
  <c r="AE29"/>
  <c r="AE17"/>
  <c r="AM62" l="1"/>
  <c r="BY36"/>
  <c r="AM36" s="1"/>
  <c r="BW36"/>
  <c r="AL36" s="1"/>
  <c r="BG36"/>
  <c r="Q36" s="1"/>
  <c r="L23" i="5" s="1"/>
  <c r="BC36" i="1"/>
  <c r="P36" s="1"/>
  <c r="K23" i="5" s="1"/>
  <c r="BA36" i="1"/>
  <c r="O36" s="1"/>
  <c r="J23" i="5" s="1"/>
  <c r="BX62" i="1"/>
  <c r="AL62" s="1"/>
  <c r="Q35"/>
  <c r="O32"/>
  <c r="AM35"/>
  <c r="BT60"/>
  <c r="BS60"/>
  <c r="BR60"/>
  <c r="BQ60"/>
  <c r="BJ61"/>
  <c r="BI61"/>
  <c r="BH61"/>
  <c r="BG61"/>
  <c r="BN62"/>
  <c r="BM62"/>
  <c r="BT58"/>
  <c r="BS58"/>
  <c r="BR58"/>
  <c r="BQ58"/>
  <c r="BJ59"/>
  <c r="BI59"/>
  <c r="BH59"/>
  <c r="BG59"/>
  <c r="BN60"/>
  <c r="BM60"/>
  <c r="BZ61"/>
  <c r="BY61"/>
  <c r="BX61"/>
  <c r="BW61"/>
  <c r="BH58"/>
  <c r="BG58"/>
  <c r="BJ58"/>
  <c r="BI58"/>
  <c r="BH62"/>
  <c r="BG62"/>
  <c r="BJ62"/>
  <c r="BI62"/>
  <c r="BD58"/>
  <c r="BC58"/>
  <c r="BB58"/>
  <c r="BA58"/>
  <c r="BD62"/>
  <c r="BC62"/>
  <c r="BB62"/>
  <c r="BA62"/>
  <c r="BN58"/>
  <c r="BM58"/>
  <c r="BZ59"/>
  <c r="BY59"/>
  <c r="BX59"/>
  <c r="BW59"/>
  <c r="BC61"/>
  <c r="P61" s="1"/>
  <c r="BS61"/>
  <c r="AK61" s="1"/>
  <c r="BQ61"/>
  <c r="AJ61" s="1"/>
  <c r="BC59"/>
  <c r="P59" s="1"/>
  <c r="BS59"/>
  <c r="AK59" s="1"/>
  <c r="BT62"/>
  <c r="BS62"/>
  <c r="BR62"/>
  <c r="BQ62"/>
  <c r="BH60"/>
  <c r="BG60"/>
  <c r="BJ60"/>
  <c r="BI60"/>
  <c r="BD60"/>
  <c r="BC60"/>
  <c r="BB60"/>
  <c r="BA60"/>
  <c r="BQ59"/>
  <c r="AJ59" s="1"/>
  <c r="BM61"/>
  <c r="BZ34"/>
  <c r="BY34"/>
  <c r="BX34"/>
  <c r="BW34"/>
  <c r="BT36"/>
  <c r="BS36"/>
  <c r="BR36"/>
  <c r="BQ36"/>
  <c r="BC33"/>
  <c r="P33" s="1"/>
  <c r="BA33"/>
  <c r="O33" s="1"/>
  <c r="BY33"/>
  <c r="AM33" s="1"/>
  <c r="BQ35"/>
  <c r="BT35"/>
  <c r="BS35"/>
  <c r="BR35"/>
  <c r="BC34"/>
  <c r="P34" s="1"/>
  <c r="BS34"/>
  <c r="AK34" s="1"/>
  <c r="BM36"/>
  <c r="BN36"/>
  <c r="BD31"/>
  <c r="P31" s="1"/>
  <c r="BT31"/>
  <c r="AK31" s="1"/>
  <c r="BX31"/>
  <c r="BB31"/>
  <c r="O31" s="1"/>
  <c r="BN31"/>
  <c r="BR31"/>
  <c r="AJ31" s="1"/>
  <c r="BZ31"/>
  <c r="AM31" s="1"/>
  <c r="BQ34"/>
  <c r="AJ34" s="1"/>
  <c r="BQ33"/>
  <c r="AJ33" s="1"/>
  <c r="BJ31"/>
  <c r="R31" s="1"/>
  <c r="AL31"/>
  <c r="BM33"/>
  <c r="AL35"/>
  <c r="BJ34"/>
  <c r="BI34"/>
  <c r="BH34"/>
  <c r="BG34"/>
  <c r="BG33"/>
  <c r="BJ33"/>
  <c r="BI33"/>
  <c r="BH33"/>
  <c r="BS33"/>
  <c r="AK33" s="1"/>
  <c r="T33" s="1"/>
  <c r="BW33"/>
  <c r="AL33" s="1"/>
  <c r="BH31"/>
  <c r="Q31" s="1"/>
  <c r="BX30"/>
  <c r="AL30" s="1"/>
  <c r="BR55"/>
  <c r="BJ30"/>
  <c r="R30" s="1"/>
  <c r="M40"/>
  <c r="R40" s="1"/>
  <c r="N176" i="3"/>
  <c r="O40" i="1"/>
  <c r="BD57"/>
  <c r="BB57"/>
  <c r="BD30"/>
  <c r="P30" s="1"/>
  <c r="BB30"/>
  <c r="O30" s="1"/>
  <c r="BN30"/>
  <c r="BM57"/>
  <c r="BD56"/>
  <c r="AG46"/>
  <c r="BL46" s="1"/>
  <c r="X46"/>
  <c r="BB55"/>
  <c r="BL52"/>
  <c r="BN52" s="1"/>
  <c r="BD55"/>
  <c r="BA56"/>
  <c r="O56" s="1"/>
  <c r="K18"/>
  <c r="G5" i="5" s="1"/>
  <c r="F5"/>
  <c r="BC55" i="1"/>
  <c r="BS55"/>
  <c r="AK55" s="1"/>
  <c r="BJ56"/>
  <c r="BI56"/>
  <c r="BH56"/>
  <c r="BG56"/>
  <c r="BC57"/>
  <c r="P57" s="1"/>
  <c r="BS57"/>
  <c r="AK57" s="1"/>
  <c r="BQ55"/>
  <c r="BQ57"/>
  <c r="AJ57" s="1"/>
  <c r="BZ56"/>
  <c r="BY56"/>
  <c r="BX56"/>
  <c r="BW56"/>
  <c r="BJ55"/>
  <c r="BI55"/>
  <c r="BH55"/>
  <c r="BG55"/>
  <c r="BC56"/>
  <c r="BS56"/>
  <c r="AK56" s="1"/>
  <c r="BJ57"/>
  <c r="BI57"/>
  <c r="BH57"/>
  <c r="BG57"/>
  <c r="BQ56"/>
  <c r="AJ56" s="1"/>
  <c r="BZ55"/>
  <c r="BY55"/>
  <c r="BX55"/>
  <c r="BW55"/>
  <c r="BZ57"/>
  <c r="BY57"/>
  <c r="BX57"/>
  <c r="BW57"/>
  <c r="BA55"/>
  <c r="BM56"/>
  <c r="BA57"/>
  <c r="BL26"/>
  <c r="Q30"/>
  <c r="AM30"/>
  <c r="BQ30"/>
  <c r="BT30"/>
  <c r="BS30"/>
  <c r="BR30"/>
  <c r="AX47"/>
  <c r="G6" i="5"/>
  <c r="V46" i="1"/>
  <c r="BO22"/>
  <c r="BL24"/>
  <c r="BK53"/>
  <c r="BK22"/>
  <c r="BV28"/>
  <c r="BY28" s="1"/>
  <c r="AY22"/>
  <c r="BE25"/>
  <c r="BL21"/>
  <c r="AX48"/>
  <c r="Q210" i="3"/>
  <c r="R211" s="1"/>
  <c r="S152"/>
  <c r="H15" i="1" s="1"/>
  <c r="Q174" i="3"/>
  <c r="N175" s="1"/>
  <c r="L164"/>
  <c r="BK49" i="1"/>
  <c r="T40"/>
  <c r="Q203" i="3"/>
  <c r="Q204"/>
  <c r="BL47" i="1"/>
  <c r="U39" i="3"/>
  <c r="T76" i="1" s="1"/>
  <c r="U42" i="3"/>
  <c r="T79" i="1" s="1"/>
  <c r="J168" i="3"/>
  <c r="J166"/>
  <c r="BL29" i="1"/>
  <c r="BU19"/>
  <c r="BK54"/>
  <c r="BN54" s="1"/>
  <c r="AZ26"/>
  <c r="AX23"/>
  <c r="AZ27"/>
  <c r="AY19"/>
  <c r="BV24"/>
  <c r="BY24" s="1"/>
  <c r="BO26"/>
  <c r="AW52"/>
  <c r="BM52" s="1"/>
  <c r="AX49"/>
  <c r="AY23"/>
  <c r="BC23" s="1"/>
  <c r="AZ18"/>
  <c r="BE29"/>
  <c r="BK25"/>
  <c r="BE21"/>
  <c r="BO27"/>
  <c r="P119" i="3"/>
  <c r="P114"/>
  <c r="P118"/>
  <c r="P110"/>
  <c r="P109"/>
  <c r="P113"/>
  <c r="P117"/>
  <c r="P112"/>
  <c r="P116"/>
  <c r="P120"/>
  <c r="P111"/>
  <c r="P115"/>
  <c r="P108"/>
  <c r="P107"/>
  <c r="AX28" i="1"/>
  <c r="AY21"/>
  <c r="AW19"/>
  <c r="BF27"/>
  <c r="BE26"/>
  <c r="BE24"/>
  <c r="BE22"/>
  <c r="BF18"/>
  <c r="BO28"/>
  <c r="BO24"/>
  <c r="BO18"/>
  <c r="BU29"/>
  <c r="BU25"/>
  <c r="BU21"/>
  <c r="BV26"/>
  <c r="BV22"/>
  <c r="BP54"/>
  <c r="BT54" s="1"/>
  <c r="BO53"/>
  <c r="BP52"/>
  <c r="BU51"/>
  <c r="BW51" s="1"/>
  <c r="BU49"/>
  <c r="BO48"/>
  <c r="BS48" s="1"/>
  <c r="BO47"/>
  <c r="BU46"/>
  <c r="AZ24"/>
  <c r="BC24" s="1"/>
  <c r="AW27"/>
  <c r="AX27" s="1"/>
  <c r="AX24"/>
  <c r="BN24" s="1"/>
  <c r="BF19"/>
  <c r="BO29"/>
  <c r="BO25"/>
  <c r="BO19"/>
  <c r="BV27"/>
  <c r="BV23"/>
  <c r="BW23" s="1"/>
  <c r="BV18"/>
  <c r="BU54"/>
  <c r="BX54" s="1"/>
  <c r="BU52"/>
  <c r="BX52" s="1"/>
  <c r="AX53"/>
  <c r="AW47"/>
  <c r="AY25"/>
  <c r="BE23"/>
  <c r="BJ23" s="1"/>
  <c r="BO21"/>
  <c r="BU53"/>
  <c r="BO51"/>
  <c r="BQ51" s="1"/>
  <c r="BO49"/>
  <c r="BU48"/>
  <c r="BU47"/>
  <c r="BO46"/>
  <c r="BP23"/>
  <c r="BR23" s="1"/>
  <c r="BU50"/>
  <c r="BP50"/>
  <c r="BU20"/>
  <c r="BV20" s="1"/>
  <c r="BP20"/>
  <c r="BS20" s="1"/>
  <c r="BF20"/>
  <c r="BG20" s="1"/>
  <c r="AZ20"/>
  <c r="BA20" s="1"/>
  <c r="AX20"/>
  <c r="BN20" s="1"/>
  <c r="AX51"/>
  <c r="BL48"/>
  <c r="BL18"/>
  <c r="BL19"/>
  <c r="BK27"/>
  <c r="BK23"/>
  <c r="AW54"/>
  <c r="AW50"/>
  <c r="AW46"/>
  <c r="AX46" s="1"/>
  <c r="BQ48"/>
  <c r="BR52"/>
  <c r="BT52"/>
  <c r="BV17"/>
  <c r="BP17"/>
  <c r="BK28"/>
  <c r="BE28"/>
  <c r="AY28"/>
  <c r="BF17"/>
  <c r="BL17"/>
  <c r="BM24"/>
  <c r="BG23"/>
  <c r="BM20"/>
  <c r="AY29"/>
  <c r="AW26"/>
  <c r="AW22"/>
  <c r="BA22" s="1"/>
  <c r="AW18"/>
  <c r="AW29"/>
  <c r="AW25"/>
  <c r="AW21"/>
  <c r="AY17"/>
  <c r="AN17"/>
  <c r="AW17" s="1"/>
  <c r="Q115"/>
  <c r="E82" i="2"/>
  <c r="F82"/>
  <c r="G82"/>
  <c r="H82"/>
  <c r="I82"/>
  <c r="J82"/>
  <c r="K82"/>
  <c r="V82"/>
  <c r="X82"/>
  <c r="Y82"/>
  <c r="Z82"/>
  <c r="AA82"/>
  <c r="AB82"/>
  <c r="AC82"/>
  <c r="AD82"/>
  <c r="AE82"/>
  <c r="E78"/>
  <c r="E79" s="1"/>
  <c r="F78"/>
  <c r="F79" s="1"/>
  <c r="G78"/>
  <c r="G77" s="1"/>
  <c r="H78"/>
  <c r="I78"/>
  <c r="I79" s="1"/>
  <c r="J78"/>
  <c r="J79" s="1"/>
  <c r="K78"/>
  <c r="K77" s="1"/>
  <c r="V78"/>
  <c r="V77" s="1"/>
  <c r="X78"/>
  <c r="Y78"/>
  <c r="Z78"/>
  <c r="Z77" s="1"/>
  <c r="AA78"/>
  <c r="AB78"/>
  <c r="AC78"/>
  <c r="AD78"/>
  <c r="AD77" s="1"/>
  <c r="AE78"/>
  <c r="D82"/>
  <c r="D78"/>
  <c r="U122" i="1"/>
  <c r="K106"/>
  <c r="K108"/>
  <c r="M104"/>
  <c r="E113"/>
  <c r="K113" s="1"/>
  <c r="M113" s="1"/>
  <c r="Q113"/>
  <c r="Q114"/>
  <c r="Q112"/>
  <c r="E114"/>
  <c r="E112"/>
  <c r="E108"/>
  <c r="M108" s="1"/>
  <c r="E106"/>
  <c r="M106" s="1"/>
  <c r="G10"/>
  <c r="C10"/>
  <c r="I10"/>
  <c r="N10" s="1"/>
  <c r="I64" i="3"/>
  <c r="E89" i="1"/>
  <c r="G89" s="1"/>
  <c r="E87"/>
  <c r="G87" s="1"/>
  <c r="E88"/>
  <c r="G88" s="1"/>
  <c r="E86"/>
  <c r="G86" s="1"/>
  <c r="E79"/>
  <c r="G79" s="1"/>
  <c r="E80"/>
  <c r="G80" s="1"/>
  <c r="E78"/>
  <c r="G78" s="1"/>
  <c r="G77"/>
  <c r="J64"/>
  <c r="T68"/>
  <c r="T69"/>
  <c r="P70"/>
  <c r="P68"/>
  <c r="P67"/>
  <c r="P66"/>
  <c r="N21" i="3"/>
  <c r="N23"/>
  <c r="N22"/>
  <c r="C68" i="1"/>
  <c r="C69"/>
  <c r="AE131" i="2"/>
  <c r="AD131"/>
  <c r="AC131"/>
  <c r="AB131"/>
  <c r="AA131"/>
  <c r="Z131"/>
  <c r="Y131"/>
  <c r="X131"/>
  <c r="V131"/>
  <c r="K131"/>
  <c r="J131"/>
  <c r="I131"/>
  <c r="H131"/>
  <c r="G131"/>
  <c r="F131"/>
  <c r="E131"/>
  <c r="D131"/>
  <c r="B131"/>
  <c r="AE129"/>
  <c r="AD129"/>
  <c r="AC129"/>
  <c r="AB129"/>
  <c r="AA129"/>
  <c r="Z129"/>
  <c r="Y129"/>
  <c r="X129"/>
  <c r="V129"/>
  <c r="K129"/>
  <c r="J129"/>
  <c r="I129"/>
  <c r="H129"/>
  <c r="G129"/>
  <c r="F129"/>
  <c r="E129"/>
  <c r="D129"/>
  <c r="B129"/>
  <c r="AE127"/>
  <c r="AD127"/>
  <c r="AC127"/>
  <c r="AB127"/>
  <c r="AA127"/>
  <c r="Z127"/>
  <c r="Y127"/>
  <c r="X127"/>
  <c r="V127"/>
  <c r="K127"/>
  <c r="J127"/>
  <c r="I127"/>
  <c r="H127"/>
  <c r="G127"/>
  <c r="F127"/>
  <c r="E127"/>
  <c r="D127"/>
  <c r="B127"/>
  <c r="AE125"/>
  <c r="AD125"/>
  <c r="AC125"/>
  <c r="AB125"/>
  <c r="AA125"/>
  <c r="Z125"/>
  <c r="Y125"/>
  <c r="X125"/>
  <c r="V125"/>
  <c r="K125"/>
  <c r="J125"/>
  <c r="I125"/>
  <c r="H125"/>
  <c r="G125"/>
  <c r="F125"/>
  <c r="E125"/>
  <c r="D125"/>
  <c r="B125"/>
  <c r="AE123"/>
  <c r="AD123"/>
  <c r="AC123"/>
  <c r="AB123"/>
  <c r="AA123"/>
  <c r="Z123"/>
  <c r="Y123"/>
  <c r="X123"/>
  <c r="V123"/>
  <c r="K123"/>
  <c r="J123"/>
  <c r="I123"/>
  <c r="H123"/>
  <c r="G123"/>
  <c r="F123"/>
  <c r="E123"/>
  <c r="D123"/>
  <c r="B123"/>
  <c r="AE121"/>
  <c r="AD121"/>
  <c r="AC121"/>
  <c r="AB121"/>
  <c r="AA121"/>
  <c r="Z121"/>
  <c r="Y121"/>
  <c r="X121"/>
  <c r="V121"/>
  <c r="K121"/>
  <c r="J121"/>
  <c r="I121"/>
  <c r="H121"/>
  <c r="G121"/>
  <c r="F121"/>
  <c r="E121"/>
  <c r="D121"/>
  <c r="B121"/>
  <c r="AE119"/>
  <c r="AD119"/>
  <c r="AC119"/>
  <c r="AB119"/>
  <c r="AA119"/>
  <c r="Z119"/>
  <c r="Y119"/>
  <c r="X119"/>
  <c r="V119"/>
  <c r="K119"/>
  <c r="J119"/>
  <c r="I119"/>
  <c r="H119"/>
  <c r="G119"/>
  <c r="F119"/>
  <c r="E119"/>
  <c r="D119"/>
  <c r="B119"/>
  <c r="AE117"/>
  <c r="AD117"/>
  <c r="AC117"/>
  <c r="AB117"/>
  <c r="AA117"/>
  <c r="Z117"/>
  <c r="Y117"/>
  <c r="X117"/>
  <c r="V117"/>
  <c r="K117"/>
  <c r="J117"/>
  <c r="I117"/>
  <c r="H117"/>
  <c r="G117"/>
  <c r="F117"/>
  <c r="E117"/>
  <c r="D117"/>
  <c r="B117"/>
  <c r="AE115"/>
  <c r="AD115"/>
  <c r="AC115"/>
  <c r="AB115"/>
  <c r="AA115"/>
  <c r="Z115"/>
  <c r="Y115"/>
  <c r="X115"/>
  <c r="V115"/>
  <c r="K115"/>
  <c r="J115"/>
  <c r="I115"/>
  <c r="H115"/>
  <c r="G115"/>
  <c r="F115"/>
  <c r="E115"/>
  <c r="D115"/>
  <c r="B115"/>
  <c r="AE107"/>
  <c r="AD107"/>
  <c r="AC107"/>
  <c r="AB107"/>
  <c r="AA107"/>
  <c r="Z107"/>
  <c r="Y107"/>
  <c r="X107"/>
  <c r="V107"/>
  <c r="K107"/>
  <c r="J107"/>
  <c r="I107"/>
  <c r="H107"/>
  <c r="G107"/>
  <c r="F107"/>
  <c r="E107"/>
  <c r="D107"/>
  <c r="B107"/>
  <c r="AE105"/>
  <c r="AD105"/>
  <c r="AC105"/>
  <c r="AB105"/>
  <c r="AA105"/>
  <c r="Z105"/>
  <c r="Y105"/>
  <c r="X105"/>
  <c r="V105"/>
  <c r="K105"/>
  <c r="J105"/>
  <c r="I105"/>
  <c r="H105"/>
  <c r="G105"/>
  <c r="F105"/>
  <c r="E105"/>
  <c r="D105"/>
  <c r="B105"/>
  <c r="AE103"/>
  <c r="AD103"/>
  <c r="AC103"/>
  <c r="AB103"/>
  <c r="AA103"/>
  <c r="Z103"/>
  <c r="Y103"/>
  <c r="X103"/>
  <c r="V103"/>
  <c r="K103"/>
  <c r="J103"/>
  <c r="I103"/>
  <c r="H103"/>
  <c r="G103"/>
  <c r="F103"/>
  <c r="E103"/>
  <c r="D103"/>
  <c r="B103"/>
  <c r="AE101"/>
  <c r="AD101"/>
  <c r="AC101"/>
  <c r="AB101"/>
  <c r="AA101"/>
  <c r="Z101"/>
  <c r="Y101"/>
  <c r="X101"/>
  <c r="V101"/>
  <c r="K101"/>
  <c r="J101"/>
  <c r="I101"/>
  <c r="H101"/>
  <c r="G101"/>
  <c r="F101"/>
  <c r="E101"/>
  <c r="D101"/>
  <c r="B101"/>
  <c r="AE99"/>
  <c r="AD99"/>
  <c r="AC99"/>
  <c r="AB99"/>
  <c r="AA99"/>
  <c r="Z99"/>
  <c r="Y99"/>
  <c r="X99"/>
  <c r="V99"/>
  <c r="K99"/>
  <c r="J99"/>
  <c r="I99"/>
  <c r="H99"/>
  <c r="G99"/>
  <c r="F99"/>
  <c r="E99"/>
  <c r="D99"/>
  <c r="B99"/>
  <c r="AE97"/>
  <c r="AD97"/>
  <c r="AC97"/>
  <c r="AB97"/>
  <c r="AA97"/>
  <c r="Z97"/>
  <c r="Y97"/>
  <c r="X97"/>
  <c r="V97"/>
  <c r="K97"/>
  <c r="J97"/>
  <c r="I97"/>
  <c r="H97"/>
  <c r="G97"/>
  <c r="F97"/>
  <c r="E97"/>
  <c r="D97"/>
  <c r="B97"/>
  <c r="AE95"/>
  <c r="AD95"/>
  <c r="AC95"/>
  <c r="AB95"/>
  <c r="AA95"/>
  <c r="Z95"/>
  <c r="Y95"/>
  <c r="X95"/>
  <c r="V95"/>
  <c r="K95"/>
  <c r="J95"/>
  <c r="I95"/>
  <c r="H95"/>
  <c r="G95"/>
  <c r="F95"/>
  <c r="E95"/>
  <c r="D95"/>
  <c r="B95"/>
  <c r="AE93"/>
  <c r="AD93"/>
  <c r="AC93"/>
  <c r="AB93"/>
  <c r="AA93"/>
  <c r="Z93"/>
  <c r="Y93"/>
  <c r="X93"/>
  <c r="V93"/>
  <c r="K93"/>
  <c r="J93"/>
  <c r="I93"/>
  <c r="H93"/>
  <c r="G93"/>
  <c r="F93"/>
  <c r="E93"/>
  <c r="D93"/>
  <c r="B93"/>
  <c r="D91"/>
  <c r="E91"/>
  <c r="F91"/>
  <c r="G91"/>
  <c r="H91"/>
  <c r="I91"/>
  <c r="J91"/>
  <c r="K91"/>
  <c r="V91"/>
  <c r="X91"/>
  <c r="Y91"/>
  <c r="Z91"/>
  <c r="AA91"/>
  <c r="AB91"/>
  <c r="AC91"/>
  <c r="AD91"/>
  <c r="AE91"/>
  <c r="B91"/>
  <c r="AE83"/>
  <c r="AD83"/>
  <c r="AC83"/>
  <c r="AB83"/>
  <c r="AA83"/>
  <c r="Z83"/>
  <c r="Y83"/>
  <c r="X83"/>
  <c r="V83"/>
  <c r="K83"/>
  <c r="J83"/>
  <c r="I83"/>
  <c r="H83"/>
  <c r="G83"/>
  <c r="F83"/>
  <c r="E83"/>
  <c r="D83"/>
  <c r="B83"/>
  <c r="AE81"/>
  <c r="AD81"/>
  <c r="AC81"/>
  <c r="AB81"/>
  <c r="AA81"/>
  <c r="Z81"/>
  <c r="Y81"/>
  <c r="X81"/>
  <c r="V81"/>
  <c r="K81"/>
  <c r="J81"/>
  <c r="I81"/>
  <c r="H81"/>
  <c r="G81"/>
  <c r="F81"/>
  <c r="E81"/>
  <c r="D81"/>
  <c r="B81"/>
  <c r="AE79"/>
  <c r="AD79"/>
  <c r="AC79"/>
  <c r="AB79"/>
  <c r="AA79"/>
  <c r="Z79"/>
  <c r="Y79"/>
  <c r="X79"/>
  <c r="K79"/>
  <c r="H79"/>
  <c r="G79"/>
  <c r="D79"/>
  <c r="B79"/>
  <c r="AE77"/>
  <c r="AC77"/>
  <c r="AB77"/>
  <c r="AA77"/>
  <c r="Y77"/>
  <c r="X77"/>
  <c r="I77"/>
  <c r="H77"/>
  <c r="E77"/>
  <c r="D77"/>
  <c r="B77"/>
  <c r="AE75"/>
  <c r="AD75"/>
  <c r="AC75"/>
  <c r="AB75"/>
  <c r="AA75"/>
  <c r="Z75"/>
  <c r="Y75"/>
  <c r="X75"/>
  <c r="V75"/>
  <c r="K75"/>
  <c r="J75"/>
  <c r="I75"/>
  <c r="H75"/>
  <c r="G75"/>
  <c r="F75"/>
  <c r="E75"/>
  <c r="D75"/>
  <c r="B75"/>
  <c r="AE73"/>
  <c r="AD73"/>
  <c r="AC73"/>
  <c r="AB73"/>
  <c r="AA73"/>
  <c r="Z73"/>
  <c r="Y73"/>
  <c r="X73"/>
  <c r="V73"/>
  <c r="K73"/>
  <c r="J73"/>
  <c r="I73"/>
  <c r="H73"/>
  <c r="G73"/>
  <c r="F73"/>
  <c r="E73"/>
  <c r="D73"/>
  <c r="B73"/>
  <c r="AE71"/>
  <c r="AD71"/>
  <c r="AC71"/>
  <c r="AB71"/>
  <c r="AA71"/>
  <c r="Z71"/>
  <c r="Y71"/>
  <c r="X71"/>
  <c r="V71"/>
  <c r="K71"/>
  <c r="J71"/>
  <c r="I71"/>
  <c r="H71"/>
  <c r="G71"/>
  <c r="F71"/>
  <c r="E71"/>
  <c r="D71"/>
  <c r="B71"/>
  <c r="AE69"/>
  <c r="AD69"/>
  <c r="AC69"/>
  <c r="AB69"/>
  <c r="AA69"/>
  <c r="Z69"/>
  <c r="Y69"/>
  <c r="X69"/>
  <c r="V69"/>
  <c r="K69"/>
  <c r="J69"/>
  <c r="I69"/>
  <c r="H69"/>
  <c r="G69"/>
  <c r="F69"/>
  <c r="E69"/>
  <c r="D69"/>
  <c r="B69"/>
  <c r="AE67"/>
  <c r="AD67"/>
  <c r="AC67"/>
  <c r="AB67"/>
  <c r="AA67"/>
  <c r="Z67"/>
  <c r="Y67"/>
  <c r="X67"/>
  <c r="V67"/>
  <c r="K67"/>
  <c r="J67"/>
  <c r="I67"/>
  <c r="H67"/>
  <c r="G67"/>
  <c r="F67"/>
  <c r="E67"/>
  <c r="D67"/>
  <c r="B67"/>
  <c r="AE65"/>
  <c r="AD65"/>
  <c r="AC65"/>
  <c r="AB65"/>
  <c r="AA65"/>
  <c r="Z65"/>
  <c r="Y65"/>
  <c r="X65"/>
  <c r="V65"/>
  <c r="K65"/>
  <c r="J65"/>
  <c r="I65"/>
  <c r="H65"/>
  <c r="G65"/>
  <c r="F65"/>
  <c r="E65"/>
  <c r="D65"/>
  <c r="B65"/>
  <c r="AE63"/>
  <c r="AD63"/>
  <c r="AC63"/>
  <c r="AB63"/>
  <c r="AA63"/>
  <c r="Z63"/>
  <c r="Y63"/>
  <c r="X63"/>
  <c r="V63"/>
  <c r="K63"/>
  <c r="J63"/>
  <c r="I63"/>
  <c r="H63"/>
  <c r="G63"/>
  <c r="F63"/>
  <c r="E63"/>
  <c r="D63"/>
  <c r="B63"/>
  <c r="AE61"/>
  <c r="AD61"/>
  <c r="AC61"/>
  <c r="AB61"/>
  <c r="AA61"/>
  <c r="Z61"/>
  <c r="Y61"/>
  <c r="X61"/>
  <c r="V61"/>
  <c r="K61"/>
  <c r="J61"/>
  <c r="I61"/>
  <c r="H61"/>
  <c r="G61"/>
  <c r="F61"/>
  <c r="E61"/>
  <c r="D61"/>
  <c r="B61"/>
  <c r="AE59"/>
  <c r="AD59"/>
  <c r="AC59"/>
  <c r="AB59"/>
  <c r="AA59"/>
  <c r="Z59"/>
  <c r="Y59"/>
  <c r="X59"/>
  <c r="V59"/>
  <c r="K59"/>
  <c r="J59"/>
  <c r="I59"/>
  <c r="H59"/>
  <c r="G59"/>
  <c r="F59"/>
  <c r="E59"/>
  <c r="D59"/>
  <c r="B59"/>
  <c r="AE57"/>
  <c r="AD57"/>
  <c r="AC57"/>
  <c r="AB57"/>
  <c r="AA57"/>
  <c r="Z57"/>
  <c r="Y57"/>
  <c r="X57"/>
  <c r="V57"/>
  <c r="K57"/>
  <c r="J57"/>
  <c r="I57"/>
  <c r="H57"/>
  <c r="G57"/>
  <c r="F57"/>
  <c r="E57"/>
  <c r="D57"/>
  <c r="B57"/>
  <c r="AE55"/>
  <c r="AD55"/>
  <c r="AC55"/>
  <c r="AB55"/>
  <c r="AA55"/>
  <c r="Z55"/>
  <c r="Y55"/>
  <c r="X55"/>
  <c r="V55"/>
  <c r="K55"/>
  <c r="J55"/>
  <c r="I55"/>
  <c r="H55"/>
  <c r="G55"/>
  <c r="F55"/>
  <c r="E55"/>
  <c r="D55"/>
  <c r="B55"/>
  <c r="AE53"/>
  <c r="AD53"/>
  <c r="AC53"/>
  <c r="AB53"/>
  <c r="AA53"/>
  <c r="Z53"/>
  <c r="Y53"/>
  <c r="X53"/>
  <c r="V53"/>
  <c r="K53"/>
  <c r="J53"/>
  <c r="I53"/>
  <c r="H53"/>
  <c r="G53"/>
  <c r="F53"/>
  <c r="E53"/>
  <c r="D53"/>
  <c r="B53"/>
  <c r="AE51"/>
  <c r="AD51"/>
  <c r="AC51"/>
  <c r="AB51"/>
  <c r="AA51"/>
  <c r="Z51"/>
  <c r="Y51"/>
  <c r="X51"/>
  <c r="V51"/>
  <c r="K51"/>
  <c r="J51"/>
  <c r="I51"/>
  <c r="H51"/>
  <c r="G51"/>
  <c r="F51"/>
  <c r="E51"/>
  <c r="D51"/>
  <c r="B51"/>
  <c r="D49"/>
  <c r="E49"/>
  <c r="F49"/>
  <c r="G49"/>
  <c r="H49"/>
  <c r="I49"/>
  <c r="J49"/>
  <c r="K49"/>
  <c r="V49"/>
  <c r="X49"/>
  <c r="Y49"/>
  <c r="Z49"/>
  <c r="AA49"/>
  <c r="AB49"/>
  <c r="AC49"/>
  <c r="AD49"/>
  <c r="AE49"/>
  <c r="D41"/>
  <c r="E41"/>
  <c r="F41"/>
  <c r="G41"/>
  <c r="H41"/>
  <c r="I41"/>
  <c r="J41"/>
  <c r="K41"/>
  <c r="V41"/>
  <c r="X41"/>
  <c r="Y41"/>
  <c r="Z41"/>
  <c r="AA41"/>
  <c r="AB41"/>
  <c r="AC41"/>
  <c r="AD41"/>
  <c r="AE41"/>
  <c r="D39"/>
  <c r="E39"/>
  <c r="F39"/>
  <c r="G39"/>
  <c r="H39"/>
  <c r="I39"/>
  <c r="J39"/>
  <c r="K39"/>
  <c r="V39"/>
  <c r="X39"/>
  <c r="Y39"/>
  <c r="Z39"/>
  <c r="AA39"/>
  <c r="AB39"/>
  <c r="AC39"/>
  <c r="AD39"/>
  <c r="AE39"/>
  <c r="D37"/>
  <c r="E37"/>
  <c r="F37"/>
  <c r="G37"/>
  <c r="H37"/>
  <c r="I37"/>
  <c r="J37"/>
  <c r="K37"/>
  <c r="V37"/>
  <c r="X37"/>
  <c r="Y37"/>
  <c r="Z37"/>
  <c r="AA37"/>
  <c r="AB37"/>
  <c r="AC37"/>
  <c r="AD37"/>
  <c r="AE37"/>
  <c r="D35"/>
  <c r="E35"/>
  <c r="F35"/>
  <c r="G35"/>
  <c r="H35"/>
  <c r="I35"/>
  <c r="J35"/>
  <c r="K35"/>
  <c r="V35"/>
  <c r="X35"/>
  <c r="Y35"/>
  <c r="Z35"/>
  <c r="AA35"/>
  <c r="AB35"/>
  <c r="AC35"/>
  <c r="AD35"/>
  <c r="AE35"/>
  <c r="D33"/>
  <c r="E33"/>
  <c r="F33"/>
  <c r="G33"/>
  <c r="H33"/>
  <c r="I33"/>
  <c r="J33"/>
  <c r="K33"/>
  <c r="V33"/>
  <c r="X33"/>
  <c r="Y33"/>
  <c r="Z33"/>
  <c r="AA33"/>
  <c r="AB33"/>
  <c r="AC33"/>
  <c r="AD33"/>
  <c r="AE33"/>
  <c r="D31"/>
  <c r="E31"/>
  <c r="F31"/>
  <c r="G31"/>
  <c r="H31"/>
  <c r="I31"/>
  <c r="J31"/>
  <c r="K31"/>
  <c r="V31"/>
  <c r="X31"/>
  <c r="Y31"/>
  <c r="Z31"/>
  <c r="AA31"/>
  <c r="AB31"/>
  <c r="AC31"/>
  <c r="AD31"/>
  <c r="AE31"/>
  <c r="D29"/>
  <c r="E29"/>
  <c r="F29"/>
  <c r="G29"/>
  <c r="H29"/>
  <c r="I29"/>
  <c r="J29"/>
  <c r="K29"/>
  <c r="V29"/>
  <c r="X29"/>
  <c r="Y29"/>
  <c r="Z29"/>
  <c r="AA29"/>
  <c r="AB29"/>
  <c r="AC29"/>
  <c r="AD29"/>
  <c r="AE29"/>
  <c r="D27"/>
  <c r="E27"/>
  <c r="F27"/>
  <c r="G27"/>
  <c r="H27"/>
  <c r="I27"/>
  <c r="J27"/>
  <c r="K27"/>
  <c r="V27"/>
  <c r="X27"/>
  <c r="Y27"/>
  <c r="Z27"/>
  <c r="AA27"/>
  <c r="AB27"/>
  <c r="AC27"/>
  <c r="AD27"/>
  <c r="AE27"/>
  <c r="D25"/>
  <c r="E25"/>
  <c r="F25"/>
  <c r="G25"/>
  <c r="H25"/>
  <c r="I25"/>
  <c r="J25"/>
  <c r="K25"/>
  <c r="V25"/>
  <c r="X25"/>
  <c r="Y25"/>
  <c r="Z25"/>
  <c r="AA25"/>
  <c r="AB25"/>
  <c r="AC25"/>
  <c r="AD25"/>
  <c r="AE25"/>
  <c r="D23"/>
  <c r="E23"/>
  <c r="F23"/>
  <c r="G23"/>
  <c r="H23"/>
  <c r="I23"/>
  <c r="J23"/>
  <c r="K23"/>
  <c r="V23"/>
  <c r="X23"/>
  <c r="Y23"/>
  <c r="Z23"/>
  <c r="AA23"/>
  <c r="AB23"/>
  <c r="AC23"/>
  <c r="AD23"/>
  <c r="AE23"/>
  <c r="D21"/>
  <c r="E21"/>
  <c r="F21"/>
  <c r="G21"/>
  <c r="H21"/>
  <c r="I21"/>
  <c r="J21"/>
  <c r="K21"/>
  <c r="V21"/>
  <c r="X21"/>
  <c r="Y21"/>
  <c r="Z21"/>
  <c r="AA21"/>
  <c r="AB21"/>
  <c r="AC21"/>
  <c r="AD21"/>
  <c r="AE21"/>
  <c r="D19"/>
  <c r="E19"/>
  <c r="F19"/>
  <c r="G19"/>
  <c r="H19"/>
  <c r="I19"/>
  <c r="J19"/>
  <c r="K19"/>
  <c r="V19"/>
  <c r="X19"/>
  <c r="Y19"/>
  <c r="Z19"/>
  <c r="AA19"/>
  <c r="AB19"/>
  <c r="AC19"/>
  <c r="AD19"/>
  <c r="AE19"/>
  <c r="D17"/>
  <c r="E17"/>
  <c r="F17"/>
  <c r="G17"/>
  <c r="H17"/>
  <c r="I17"/>
  <c r="J17"/>
  <c r="K17"/>
  <c r="V17"/>
  <c r="X17"/>
  <c r="Y17"/>
  <c r="Z17"/>
  <c r="AA17"/>
  <c r="AB17"/>
  <c r="AC17"/>
  <c r="AD17"/>
  <c r="AE17"/>
  <c r="D15"/>
  <c r="E15"/>
  <c r="F15"/>
  <c r="G15"/>
  <c r="H15"/>
  <c r="I15"/>
  <c r="J15"/>
  <c r="K15"/>
  <c r="V15"/>
  <c r="X15"/>
  <c r="Y15"/>
  <c r="Z15"/>
  <c r="AA15"/>
  <c r="AB15"/>
  <c r="AC15"/>
  <c r="AD15"/>
  <c r="AE15"/>
  <c r="D13"/>
  <c r="E13"/>
  <c r="F13"/>
  <c r="G13"/>
  <c r="H13"/>
  <c r="I13"/>
  <c r="J13"/>
  <c r="K13"/>
  <c r="V13"/>
  <c r="X13"/>
  <c r="Y13"/>
  <c r="Z13"/>
  <c r="AA13"/>
  <c r="AB13"/>
  <c r="AC13"/>
  <c r="AD13"/>
  <c r="AE13"/>
  <c r="D11"/>
  <c r="E11"/>
  <c r="F11"/>
  <c r="G11"/>
  <c r="H11"/>
  <c r="I11"/>
  <c r="J11"/>
  <c r="K11"/>
  <c r="V11"/>
  <c r="X11"/>
  <c r="Y11"/>
  <c r="Z11"/>
  <c r="AA11"/>
  <c r="AB11"/>
  <c r="AC11"/>
  <c r="AD11"/>
  <c r="AE11"/>
  <c r="D9"/>
  <c r="E9"/>
  <c r="F9"/>
  <c r="G9"/>
  <c r="H9"/>
  <c r="I9"/>
  <c r="J9"/>
  <c r="K9"/>
  <c r="V9"/>
  <c r="X9"/>
  <c r="Y9"/>
  <c r="Z9"/>
  <c r="AA9"/>
  <c r="AB9"/>
  <c r="AC9"/>
  <c r="AD9"/>
  <c r="AE9"/>
  <c r="D7"/>
  <c r="E7"/>
  <c r="F7"/>
  <c r="G7"/>
  <c r="H7"/>
  <c r="I7"/>
  <c r="J7"/>
  <c r="K7"/>
  <c r="V7"/>
  <c r="X7"/>
  <c r="Y7"/>
  <c r="Z7"/>
  <c r="AA7"/>
  <c r="AB7"/>
  <c r="AC7"/>
  <c r="AD7"/>
  <c r="AE7"/>
  <c r="B49"/>
  <c r="B41"/>
  <c r="B39"/>
  <c r="B37"/>
  <c r="B35"/>
  <c r="B33"/>
  <c r="B31"/>
  <c r="B29"/>
  <c r="B27"/>
  <c r="B25"/>
  <c r="B23"/>
  <c r="B21"/>
  <c r="B19"/>
  <c r="B17"/>
  <c r="B15"/>
  <c r="B13"/>
  <c r="B11"/>
  <c r="B9"/>
  <c r="B7"/>
  <c r="AF92"/>
  <c r="AG92"/>
  <c r="AG93" s="1"/>
  <c r="AH92"/>
  <c r="AI92"/>
  <c r="AI93" s="1"/>
  <c r="AJ92"/>
  <c r="AK92"/>
  <c r="AK93" s="1"/>
  <c r="AL92"/>
  <c r="AM92"/>
  <c r="AM93" s="1"/>
  <c r="AN92"/>
  <c r="AF94"/>
  <c r="AF95" s="1"/>
  <c r="AG94"/>
  <c r="AG95" s="1"/>
  <c r="AH94"/>
  <c r="AH95" s="1"/>
  <c r="AI94"/>
  <c r="AI95" s="1"/>
  <c r="AJ94"/>
  <c r="AJ95" s="1"/>
  <c r="AK94"/>
  <c r="AK95" s="1"/>
  <c r="AL94"/>
  <c r="AL95" s="1"/>
  <c r="AM94"/>
  <c r="AM95" s="1"/>
  <c r="AN94"/>
  <c r="AN95" s="1"/>
  <c r="AF96"/>
  <c r="AG96"/>
  <c r="AG97" s="1"/>
  <c r="AH96"/>
  <c r="AI96"/>
  <c r="AI97" s="1"/>
  <c r="AJ96"/>
  <c r="AK96"/>
  <c r="AK97" s="1"/>
  <c r="AL96"/>
  <c r="AM96"/>
  <c r="AM97" s="1"/>
  <c r="AN96"/>
  <c r="AF98"/>
  <c r="AF99" s="1"/>
  <c r="AG98"/>
  <c r="AG99" s="1"/>
  <c r="AH98"/>
  <c r="AH99" s="1"/>
  <c r="AI98"/>
  <c r="AI99" s="1"/>
  <c r="AJ98"/>
  <c r="AJ99" s="1"/>
  <c r="AK98"/>
  <c r="AK99" s="1"/>
  <c r="AL98"/>
  <c r="AL99" s="1"/>
  <c r="AM98"/>
  <c r="AM99" s="1"/>
  <c r="AN98"/>
  <c r="AN99" s="1"/>
  <c r="AF100"/>
  <c r="AG100"/>
  <c r="AG101" s="1"/>
  <c r="AH100"/>
  <c r="AI100"/>
  <c r="AI101" s="1"/>
  <c r="AJ100"/>
  <c r="AK100"/>
  <c r="AK101" s="1"/>
  <c r="AL100"/>
  <c r="AM100"/>
  <c r="AM101" s="1"/>
  <c r="AN100"/>
  <c r="AF102"/>
  <c r="AF103" s="1"/>
  <c r="AG102"/>
  <c r="AG103" s="1"/>
  <c r="AH102"/>
  <c r="AH103" s="1"/>
  <c r="AI102"/>
  <c r="AI103" s="1"/>
  <c r="AJ102"/>
  <c r="AJ103" s="1"/>
  <c r="AK102"/>
  <c r="AK103" s="1"/>
  <c r="AL102"/>
  <c r="AL103" s="1"/>
  <c r="AM102"/>
  <c r="AM103" s="1"/>
  <c r="AN102"/>
  <c r="AN103" s="1"/>
  <c r="AF104"/>
  <c r="AG104"/>
  <c r="AG105" s="1"/>
  <c r="AH104"/>
  <c r="AI104"/>
  <c r="AI105" s="1"/>
  <c r="AJ104"/>
  <c r="AK104"/>
  <c r="AK105" s="1"/>
  <c r="AL104"/>
  <c r="AM104"/>
  <c r="AM105" s="1"/>
  <c r="AN104"/>
  <c r="AF106"/>
  <c r="AF107" s="1"/>
  <c r="AG106"/>
  <c r="AH106"/>
  <c r="AH107" s="1"/>
  <c r="AI106"/>
  <c r="AJ106"/>
  <c r="AJ107" s="1"/>
  <c r="AK106"/>
  <c r="AL106"/>
  <c r="AL107" s="1"/>
  <c r="AM106"/>
  <c r="AN106"/>
  <c r="AN107" s="1"/>
  <c r="AF108"/>
  <c r="AG108"/>
  <c r="AH108"/>
  <c r="AI108"/>
  <c r="AJ108"/>
  <c r="AK108"/>
  <c r="AL108"/>
  <c r="AM108"/>
  <c r="AN108"/>
  <c r="AF116"/>
  <c r="AF117" s="1"/>
  <c r="AG116"/>
  <c r="AH116"/>
  <c r="AH117" s="1"/>
  <c r="AI116"/>
  <c r="AJ116"/>
  <c r="AJ117" s="1"/>
  <c r="AK116"/>
  <c r="AL116"/>
  <c r="AL117" s="1"/>
  <c r="AM116"/>
  <c r="AN116"/>
  <c r="AF118"/>
  <c r="AG118"/>
  <c r="AH118"/>
  <c r="AI118"/>
  <c r="AJ118"/>
  <c r="AK118"/>
  <c r="AL118"/>
  <c r="AM118"/>
  <c r="AF120"/>
  <c r="AG120"/>
  <c r="AG121" s="1"/>
  <c r="AH120"/>
  <c r="AI120"/>
  <c r="AI121" s="1"/>
  <c r="AJ120"/>
  <c r="AK120"/>
  <c r="AK121" s="1"/>
  <c r="AL120"/>
  <c r="AM120"/>
  <c r="AM121" s="1"/>
  <c r="AN120"/>
  <c r="AF122"/>
  <c r="AF123" s="1"/>
  <c r="AG122"/>
  <c r="AH122"/>
  <c r="AH123" s="1"/>
  <c r="AI122"/>
  <c r="AJ122"/>
  <c r="AJ123" s="1"/>
  <c r="AK122"/>
  <c r="AL122"/>
  <c r="AL123" s="1"/>
  <c r="AM122"/>
  <c r="AN122"/>
  <c r="AN123" s="1"/>
  <c r="AF124"/>
  <c r="AG124"/>
  <c r="AG125" s="1"/>
  <c r="AH124"/>
  <c r="AI124"/>
  <c r="AI125" s="1"/>
  <c r="AJ124"/>
  <c r="AK124"/>
  <c r="AK125" s="1"/>
  <c r="AL124"/>
  <c r="AM124"/>
  <c r="AM125" s="1"/>
  <c r="AN124"/>
  <c r="AF126"/>
  <c r="AF127" s="1"/>
  <c r="AG126"/>
  <c r="AH126"/>
  <c r="AH127" s="1"/>
  <c r="AI126"/>
  <c r="AJ126"/>
  <c r="AJ127" s="1"/>
  <c r="AK126"/>
  <c r="AL126"/>
  <c r="AL127" s="1"/>
  <c r="AM126"/>
  <c r="AN126"/>
  <c r="AN127" s="1"/>
  <c r="AF128"/>
  <c r="AG128"/>
  <c r="AG129" s="1"/>
  <c r="AH128"/>
  <c r="AI128"/>
  <c r="AI129" s="1"/>
  <c r="AJ128"/>
  <c r="AK128"/>
  <c r="AK129" s="1"/>
  <c r="AL128"/>
  <c r="AM128"/>
  <c r="AM129" s="1"/>
  <c r="AN128"/>
  <c r="AF130"/>
  <c r="AF131" s="1"/>
  <c r="AG130"/>
  <c r="AH130"/>
  <c r="AH131" s="1"/>
  <c r="AI130"/>
  <c r="AJ130"/>
  <c r="AJ131" s="1"/>
  <c r="AK130"/>
  <c r="AL130"/>
  <c r="AL131" s="1"/>
  <c r="AM130"/>
  <c r="AN130"/>
  <c r="AN131" s="1"/>
  <c r="AF132"/>
  <c r="AG132"/>
  <c r="AH132"/>
  <c r="AI132"/>
  <c r="AJ132"/>
  <c r="AK132"/>
  <c r="AL132"/>
  <c r="AM132"/>
  <c r="AN132"/>
  <c r="L116"/>
  <c r="L117" s="1"/>
  <c r="M116"/>
  <c r="N116"/>
  <c r="N117" s="1"/>
  <c r="O116"/>
  <c r="P116"/>
  <c r="P117" s="1"/>
  <c r="Q116"/>
  <c r="R116"/>
  <c r="R117" s="1"/>
  <c r="S116"/>
  <c r="T116"/>
  <c r="T117" s="1"/>
  <c r="L118"/>
  <c r="M118"/>
  <c r="M119" s="1"/>
  <c r="N118"/>
  <c r="O118"/>
  <c r="O119" s="1"/>
  <c r="P118"/>
  <c r="Q118"/>
  <c r="Q119" s="1"/>
  <c r="R118"/>
  <c r="S118"/>
  <c r="S119" s="1"/>
  <c r="T118"/>
  <c r="L120"/>
  <c r="L121" s="1"/>
  <c r="M120"/>
  <c r="N120"/>
  <c r="N121" s="1"/>
  <c r="O120"/>
  <c r="P120"/>
  <c r="P121" s="1"/>
  <c r="Q120"/>
  <c r="R120"/>
  <c r="R121" s="1"/>
  <c r="S120"/>
  <c r="T120"/>
  <c r="T121" s="1"/>
  <c r="L122"/>
  <c r="M122"/>
  <c r="M123" s="1"/>
  <c r="N122"/>
  <c r="O122"/>
  <c r="O123" s="1"/>
  <c r="P122"/>
  <c r="Q122"/>
  <c r="Q123" s="1"/>
  <c r="R122"/>
  <c r="S122"/>
  <c r="S123" s="1"/>
  <c r="T122"/>
  <c r="L124"/>
  <c r="L125" s="1"/>
  <c r="M124"/>
  <c r="N124"/>
  <c r="N125" s="1"/>
  <c r="O124"/>
  <c r="P124"/>
  <c r="P125" s="1"/>
  <c r="Q124"/>
  <c r="R124"/>
  <c r="R125" s="1"/>
  <c r="S124"/>
  <c r="T124"/>
  <c r="L126"/>
  <c r="M126"/>
  <c r="N126"/>
  <c r="O126"/>
  <c r="P126"/>
  <c r="Q126"/>
  <c r="R126"/>
  <c r="S126"/>
  <c r="L128"/>
  <c r="M128"/>
  <c r="M129" s="1"/>
  <c r="N128"/>
  <c r="O128"/>
  <c r="O129" s="1"/>
  <c r="P128"/>
  <c r="Q128"/>
  <c r="Q129" s="1"/>
  <c r="R128"/>
  <c r="S128"/>
  <c r="S129" s="1"/>
  <c r="T128"/>
  <c r="L130"/>
  <c r="L131" s="1"/>
  <c r="M130"/>
  <c r="N130"/>
  <c r="N131" s="1"/>
  <c r="O130"/>
  <c r="P130"/>
  <c r="P131" s="1"/>
  <c r="Q130"/>
  <c r="R130"/>
  <c r="R131" s="1"/>
  <c r="S130"/>
  <c r="T130"/>
  <c r="T131" s="1"/>
  <c r="L132"/>
  <c r="M132"/>
  <c r="N132"/>
  <c r="O132"/>
  <c r="P132"/>
  <c r="Q132"/>
  <c r="R132"/>
  <c r="S132"/>
  <c r="T132"/>
  <c r="AM114"/>
  <c r="AM115" s="1"/>
  <c r="AL114"/>
  <c r="AK114"/>
  <c r="AK115" s="1"/>
  <c r="AJ114"/>
  <c r="AI114"/>
  <c r="AI115" s="1"/>
  <c r="AH114"/>
  <c r="AG114"/>
  <c r="AG115" s="1"/>
  <c r="AF114"/>
  <c r="AN113"/>
  <c r="AM113"/>
  <c r="AL113"/>
  <c r="AK113"/>
  <c r="AJ113"/>
  <c r="AI113"/>
  <c r="AH113"/>
  <c r="AG113"/>
  <c r="AM90"/>
  <c r="AM91" s="1"/>
  <c r="AL90"/>
  <c r="AL91" s="1"/>
  <c r="AK90"/>
  <c r="AK91" s="1"/>
  <c r="AJ90"/>
  <c r="AJ91" s="1"/>
  <c r="AI90"/>
  <c r="AI91" s="1"/>
  <c r="AH90"/>
  <c r="AH91" s="1"/>
  <c r="AG90"/>
  <c r="AG91" s="1"/>
  <c r="AF90"/>
  <c r="AN89"/>
  <c r="AM89"/>
  <c r="AL89"/>
  <c r="AK89"/>
  <c r="AJ89"/>
  <c r="AI89"/>
  <c r="AH89"/>
  <c r="AG89"/>
  <c r="S114"/>
  <c r="S115" s="1"/>
  <c r="R114"/>
  <c r="Q114"/>
  <c r="Q115" s="1"/>
  <c r="P114"/>
  <c r="O114"/>
  <c r="O115" s="1"/>
  <c r="N114"/>
  <c r="M114"/>
  <c r="M115" s="1"/>
  <c r="L114"/>
  <c r="T113"/>
  <c r="S113"/>
  <c r="R113"/>
  <c r="Q113"/>
  <c r="P113"/>
  <c r="O113"/>
  <c r="N113"/>
  <c r="M113"/>
  <c r="N102"/>
  <c r="N103" s="1"/>
  <c r="L92"/>
  <c r="M92"/>
  <c r="M93" s="1"/>
  <c r="N92"/>
  <c r="O92"/>
  <c r="O93" s="1"/>
  <c r="P92"/>
  <c r="Q92"/>
  <c r="Q93" s="1"/>
  <c r="R92"/>
  <c r="S92"/>
  <c r="S93" s="1"/>
  <c r="T92"/>
  <c r="L94"/>
  <c r="L95" s="1"/>
  <c r="M94"/>
  <c r="N94"/>
  <c r="N95" s="1"/>
  <c r="O94"/>
  <c r="P94"/>
  <c r="P95" s="1"/>
  <c r="Q94"/>
  <c r="R94"/>
  <c r="R95" s="1"/>
  <c r="S94"/>
  <c r="T94"/>
  <c r="T95" s="1"/>
  <c r="L96"/>
  <c r="M96"/>
  <c r="M97" s="1"/>
  <c r="N96"/>
  <c r="O96"/>
  <c r="O97" s="1"/>
  <c r="P96"/>
  <c r="Q96"/>
  <c r="Q97" s="1"/>
  <c r="R96"/>
  <c r="S96"/>
  <c r="S97" s="1"/>
  <c r="T96"/>
  <c r="L98"/>
  <c r="L99" s="1"/>
  <c r="M98"/>
  <c r="N98"/>
  <c r="N99" s="1"/>
  <c r="O98"/>
  <c r="P98"/>
  <c r="P99" s="1"/>
  <c r="Q98"/>
  <c r="R98"/>
  <c r="R99" s="1"/>
  <c r="S98"/>
  <c r="T98"/>
  <c r="T99" s="1"/>
  <c r="L100"/>
  <c r="M100"/>
  <c r="M101" s="1"/>
  <c r="N100"/>
  <c r="O100"/>
  <c r="P100"/>
  <c r="Q100"/>
  <c r="R100"/>
  <c r="S100"/>
  <c r="T100"/>
  <c r="L102"/>
  <c r="M102"/>
  <c r="O102"/>
  <c r="P102"/>
  <c r="Q102"/>
  <c r="R102"/>
  <c r="S102"/>
  <c r="L104"/>
  <c r="M104"/>
  <c r="M105" s="1"/>
  <c r="N104"/>
  <c r="O104"/>
  <c r="O105" s="1"/>
  <c r="P104"/>
  <c r="Q104"/>
  <c r="Q105" s="1"/>
  <c r="R104"/>
  <c r="S104"/>
  <c r="S105" s="1"/>
  <c r="T104"/>
  <c r="L106"/>
  <c r="L107" s="1"/>
  <c r="M106"/>
  <c r="N106"/>
  <c r="N107" s="1"/>
  <c r="O106"/>
  <c r="P106"/>
  <c r="P107" s="1"/>
  <c r="Q106"/>
  <c r="R106"/>
  <c r="R107" s="1"/>
  <c r="S106"/>
  <c r="T106"/>
  <c r="T107" s="1"/>
  <c r="L108"/>
  <c r="T108" s="1"/>
  <c r="M108"/>
  <c r="N108"/>
  <c r="O108"/>
  <c r="P108"/>
  <c r="Q108"/>
  <c r="R108"/>
  <c r="S108"/>
  <c r="M90"/>
  <c r="N90"/>
  <c r="N91" s="1"/>
  <c r="O90"/>
  <c r="P90"/>
  <c r="P91" s="1"/>
  <c r="Q90"/>
  <c r="R90"/>
  <c r="R91" s="1"/>
  <c r="S90"/>
  <c r="T89"/>
  <c r="S89"/>
  <c r="R89"/>
  <c r="Q89"/>
  <c r="P89"/>
  <c r="O89"/>
  <c r="N89"/>
  <c r="M89"/>
  <c r="L90"/>
  <c r="AF50"/>
  <c r="AG50"/>
  <c r="AG51" s="1"/>
  <c r="AH50"/>
  <c r="AI50"/>
  <c r="AI51" s="1"/>
  <c r="AJ50"/>
  <c r="AK50"/>
  <c r="AK51" s="1"/>
  <c r="AL50"/>
  <c r="AM50"/>
  <c r="AM51" s="1"/>
  <c r="AN50"/>
  <c r="AF52"/>
  <c r="AF53" s="1"/>
  <c r="AG52"/>
  <c r="AH52"/>
  <c r="AH53" s="1"/>
  <c r="AI52"/>
  <c r="AJ52"/>
  <c r="AJ53" s="1"/>
  <c r="AK52"/>
  <c r="AL52"/>
  <c r="AL53" s="1"/>
  <c r="AM52"/>
  <c r="AN52"/>
  <c r="AN53" s="1"/>
  <c r="AF54"/>
  <c r="AG54"/>
  <c r="AG55" s="1"/>
  <c r="AH54"/>
  <c r="AI54"/>
  <c r="AI55" s="1"/>
  <c r="AJ54"/>
  <c r="AK54"/>
  <c r="AK55" s="1"/>
  <c r="AL54"/>
  <c r="AM54"/>
  <c r="AM55" s="1"/>
  <c r="AN54"/>
  <c r="AF56"/>
  <c r="AF57" s="1"/>
  <c r="AG56"/>
  <c r="AH56"/>
  <c r="AH57" s="1"/>
  <c r="AI56"/>
  <c r="AJ56"/>
  <c r="AJ57" s="1"/>
  <c r="AK56"/>
  <c r="AL56"/>
  <c r="AL57" s="1"/>
  <c r="AM56"/>
  <c r="AN56"/>
  <c r="AN57" s="1"/>
  <c r="AF58"/>
  <c r="AG58"/>
  <c r="AG59" s="1"/>
  <c r="AH58"/>
  <c r="AI58"/>
  <c r="AI59" s="1"/>
  <c r="AJ58"/>
  <c r="AK58"/>
  <c r="AK59" s="1"/>
  <c r="AL58"/>
  <c r="AM58"/>
  <c r="AM59" s="1"/>
  <c r="AN58"/>
  <c r="AF60"/>
  <c r="AN60" s="1"/>
  <c r="AG60"/>
  <c r="AH60"/>
  <c r="AI60"/>
  <c r="AJ60"/>
  <c r="AK60"/>
  <c r="AL60"/>
  <c r="AM60"/>
  <c r="AF62"/>
  <c r="AF63" s="1"/>
  <c r="AG62"/>
  <c r="AH62"/>
  <c r="AH63" s="1"/>
  <c r="AI62"/>
  <c r="AJ62"/>
  <c r="AJ63" s="1"/>
  <c r="AK62"/>
  <c r="AL62"/>
  <c r="AL63" s="1"/>
  <c r="AM62"/>
  <c r="AN62"/>
  <c r="AN63" s="1"/>
  <c r="AF64"/>
  <c r="AG64"/>
  <c r="AG65" s="1"/>
  <c r="AH64"/>
  <c r="AI64"/>
  <c r="AI65" s="1"/>
  <c r="AJ64"/>
  <c r="AK64"/>
  <c r="AK65" s="1"/>
  <c r="AL64"/>
  <c r="AM64"/>
  <c r="AM65" s="1"/>
  <c r="AN64"/>
  <c r="AF66"/>
  <c r="AF67" s="1"/>
  <c r="AG66"/>
  <c r="AH66"/>
  <c r="AH67" s="1"/>
  <c r="AI66"/>
  <c r="AJ66"/>
  <c r="AJ67" s="1"/>
  <c r="AK66"/>
  <c r="AL66"/>
  <c r="AL67" s="1"/>
  <c r="AM66"/>
  <c r="AN66"/>
  <c r="AN67" s="1"/>
  <c r="AF68"/>
  <c r="AN68" s="1"/>
  <c r="AG68"/>
  <c r="AH68"/>
  <c r="AI68"/>
  <c r="AJ68"/>
  <c r="AK68"/>
  <c r="AL68"/>
  <c r="AM68"/>
  <c r="AF70"/>
  <c r="AG70"/>
  <c r="AG71" s="1"/>
  <c r="AH70"/>
  <c r="AI70"/>
  <c r="AI71" s="1"/>
  <c r="AJ70"/>
  <c r="AK70"/>
  <c r="AK71" s="1"/>
  <c r="AL70"/>
  <c r="AM70"/>
  <c r="AM71" s="1"/>
  <c r="AN70"/>
  <c r="AF72"/>
  <c r="AF73" s="1"/>
  <c r="AG72"/>
  <c r="AH72"/>
  <c r="AH73" s="1"/>
  <c r="AI72"/>
  <c r="AJ72"/>
  <c r="AJ73" s="1"/>
  <c r="AK72"/>
  <c r="AL72"/>
  <c r="AL73" s="1"/>
  <c r="AM72"/>
  <c r="AN72"/>
  <c r="AN73" s="1"/>
  <c r="AF74"/>
  <c r="AG74"/>
  <c r="AG75" s="1"/>
  <c r="AH74"/>
  <c r="AI74"/>
  <c r="AI75" s="1"/>
  <c r="AJ74"/>
  <c r="AK74"/>
  <c r="AK75" s="1"/>
  <c r="AL74"/>
  <c r="AM74"/>
  <c r="AM75" s="1"/>
  <c r="AN74"/>
  <c r="AF76"/>
  <c r="AG76"/>
  <c r="AH76"/>
  <c r="AI76"/>
  <c r="AJ76"/>
  <c r="AK76"/>
  <c r="AL76"/>
  <c r="AM76"/>
  <c r="AF80"/>
  <c r="AG80"/>
  <c r="AH80"/>
  <c r="AI80"/>
  <c r="AJ80"/>
  <c r="AK80"/>
  <c r="AL80"/>
  <c r="AM80"/>
  <c r="AN80"/>
  <c r="AF84"/>
  <c r="AG84"/>
  <c r="AH84"/>
  <c r="AI84"/>
  <c r="AJ84"/>
  <c r="AK84"/>
  <c r="AL84"/>
  <c r="AM84"/>
  <c r="AN84"/>
  <c r="AF8"/>
  <c r="AF9" s="1"/>
  <c r="AG8"/>
  <c r="AH8"/>
  <c r="AH9" s="1"/>
  <c r="AI8"/>
  <c r="AJ8"/>
  <c r="AJ9" s="1"/>
  <c r="AK8"/>
  <c r="AL8"/>
  <c r="AL9" s="1"/>
  <c r="AM8"/>
  <c r="AN8"/>
  <c r="AN9" s="1"/>
  <c r="AF10"/>
  <c r="AG10"/>
  <c r="AG11" s="1"/>
  <c r="AH10"/>
  <c r="AI10"/>
  <c r="AI11" s="1"/>
  <c r="AJ10"/>
  <c r="AK10"/>
  <c r="AK11" s="1"/>
  <c r="AL10"/>
  <c r="AM10"/>
  <c r="AM11" s="1"/>
  <c r="AN10"/>
  <c r="AF12"/>
  <c r="AF13" s="1"/>
  <c r="AG12"/>
  <c r="AH12"/>
  <c r="AH13" s="1"/>
  <c r="AI12"/>
  <c r="AJ12"/>
  <c r="AJ13" s="1"/>
  <c r="AK12"/>
  <c r="AL12"/>
  <c r="AL13" s="1"/>
  <c r="AM12"/>
  <c r="AN12"/>
  <c r="AN13" s="1"/>
  <c r="AF14"/>
  <c r="AG14"/>
  <c r="AG15" s="1"/>
  <c r="AH14"/>
  <c r="AI14"/>
  <c r="AI15" s="1"/>
  <c r="AJ14"/>
  <c r="AK14"/>
  <c r="AK15" s="1"/>
  <c r="AL14"/>
  <c r="AM14"/>
  <c r="AM15" s="1"/>
  <c r="AN14"/>
  <c r="AF16"/>
  <c r="AF17" s="1"/>
  <c r="AG16"/>
  <c r="AH16"/>
  <c r="AH17" s="1"/>
  <c r="AI16"/>
  <c r="AJ16"/>
  <c r="AJ17" s="1"/>
  <c r="AK16"/>
  <c r="AL16"/>
  <c r="AL17" s="1"/>
  <c r="AM16"/>
  <c r="AN16"/>
  <c r="AN17" s="1"/>
  <c r="AF18"/>
  <c r="AN18" s="1"/>
  <c r="AG18"/>
  <c r="AH18"/>
  <c r="AI18"/>
  <c r="AJ18"/>
  <c r="AK18"/>
  <c r="AL18"/>
  <c r="AM18"/>
  <c r="AF20"/>
  <c r="AG20"/>
  <c r="AG21" s="1"/>
  <c r="AH20"/>
  <c r="AI20"/>
  <c r="AI21" s="1"/>
  <c r="AJ20"/>
  <c r="AK20"/>
  <c r="AK21" s="1"/>
  <c r="AL20"/>
  <c r="AM20"/>
  <c r="AM21" s="1"/>
  <c r="AN20"/>
  <c r="AF22"/>
  <c r="AF23" s="1"/>
  <c r="AG22"/>
  <c r="AH22"/>
  <c r="AH23" s="1"/>
  <c r="AI22"/>
  <c r="AJ22"/>
  <c r="AJ23" s="1"/>
  <c r="AK22"/>
  <c r="AL22"/>
  <c r="AL23" s="1"/>
  <c r="AM22"/>
  <c r="AN22"/>
  <c r="AN23" s="1"/>
  <c r="AF24"/>
  <c r="AG24"/>
  <c r="AG25" s="1"/>
  <c r="AH24"/>
  <c r="AI24"/>
  <c r="AI25" s="1"/>
  <c r="AJ24"/>
  <c r="AK24"/>
  <c r="AK25" s="1"/>
  <c r="AL24"/>
  <c r="AM24"/>
  <c r="AM25" s="1"/>
  <c r="AN24"/>
  <c r="AF26"/>
  <c r="AF27" s="1"/>
  <c r="AG26"/>
  <c r="AH26"/>
  <c r="AH27" s="1"/>
  <c r="AI26"/>
  <c r="AJ26"/>
  <c r="AJ27" s="1"/>
  <c r="AK26"/>
  <c r="AL26"/>
  <c r="AL27" s="1"/>
  <c r="AM26"/>
  <c r="AN26"/>
  <c r="AN27" s="1"/>
  <c r="AF28"/>
  <c r="AG28"/>
  <c r="AG29" s="1"/>
  <c r="AH28"/>
  <c r="AI28"/>
  <c r="AI29" s="1"/>
  <c r="AJ28"/>
  <c r="AK28"/>
  <c r="AK29" s="1"/>
  <c r="AL28"/>
  <c r="AM28"/>
  <c r="AM29" s="1"/>
  <c r="AN28"/>
  <c r="AF30"/>
  <c r="AF31" s="1"/>
  <c r="AG30"/>
  <c r="AH30"/>
  <c r="AH31" s="1"/>
  <c r="AI30"/>
  <c r="AJ30"/>
  <c r="AJ31" s="1"/>
  <c r="AK30"/>
  <c r="AL30"/>
  <c r="AL31" s="1"/>
  <c r="AM30"/>
  <c r="AN30"/>
  <c r="AN31" s="1"/>
  <c r="AF32"/>
  <c r="AG32"/>
  <c r="AG33" s="1"/>
  <c r="AH32"/>
  <c r="AI32"/>
  <c r="AI33" s="1"/>
  <c r="AJ32"/>
  <c r="AK32"/>
  <c r="AK33" s="1"/>
  <c r="AL32"/>
  <c r="AM32"/>
  <c r="AM33" s="1"/>
  <c r="AN32"/>
  <c r="AF34"/>
  <c r="AF35" s="1"/>
  <c r="AG34"/>
  <c r="AH34"/>
  <c r="AH35" s="1"/>
  <c r="AI34"/>
  <c r="AJ34"/>
  <c r="AJ35" s="1"/>
  <c r="AK34"/>
  <c r="AL34"/>
  <c r="AL35" s="1"/>
  <c r="AM34"/>
  <c r="AN34"/>
  <c r="AN35" s="1"/>
  <c r="AF36"/>
  <c r="AG36"/>
  <c r="AG37" s="1"/>
  <c r="AH36"/>
  <c r="AI36"/>
  <c r="AI37" s="1"/>
  <c r="AJ36"/>
  <c r="AK36"/>
  <c r="AK37" s="1"/>
  <c r="AL36"/>
  <c r="AM36"/>
  <c r="AM37" s="1"/>
  <c r="AN36"/>
  <c r="AF38"/>
  <c r="AF39" s="1"/>
  <c r="AG38"/>
  <c r="AH38"/>
  <c r="AH39" s="1"/>
  <c r="AI38"/>
  <c r="AJ38"/>
  <c r="AJ39" s="1"/>
  <c r="AK38"/>
  <c r="AL38"/>
  <c r="AL39" s="1"/>
  <c r="AM38"/>
  <c r="AN38"/>
  <c r="AN39" s="1"/>
  <c r="AF40"/>
  <c r="AG40"/>
  <c r="AG41" s="1"/>
  <c r="AH40"/>
  <c r="AI40"/>
  <c r="AI41" s="1"/>
  <c r="AJ40"/>
  <c r="AK40"/>
  <c r="AK41" s="1"/>
  <c r="AL40"/>
  <c r="AM40"/>
  <c r="AM41" s="1"/>
  <c r="AN40"/>
  <c r="AF42"/>
  <c r="AG42"/>
  <c r="AH42"/>
  <c r="AI42"/>
  <c r="AJ42"/>
  <c r="AK42"/>
  <c r="AL42"/>
  <c r="AM42"/>
  <c r="AN42"/>
  <c r="AM48"/>
  <c r="AL48"/>
  <c r="AL49" s="1"/>
  <c r="AK48"/>
  <c r="AK49" s="1"/>
  <c r="AJ48"/>
  <c r="AJ49" s="1"/>
  <c r="AI48"/>
  <c r="AI49" s="1"/>
  <c r="AH48"/>
  <c r="AH49" s="1"/>
  <c r="AG48"/>
  <c r="AG49" s="1"/>
  <c r="AF48"/>
  <c r="AN48" s="1"/>
  <c r="AN49" s="1"/>
  <c r="AN47"/>
  <c r="AM47"/>
  <c r="AL47"/>
  <c r="AK47"/>
  <c r="AJ47"/>
  <c r="AI47"/>
  <c r="AH47"/>
  <c r="AG47"/>
  <c r="AM6"/>
  <c r="AM7" s="1"/>
  <c r="AL6"/>
  <c r="AL7" s="1"/>
  <c r="AK6"/>
  <c r="AK7" s="1"/>
  <c r="AJ6"/>
  <c r="AJ7" s="1"/>
  <c r="AI6"/>
  <c r="AI7" s="1"/>
  <c r="AH6"/>
  <c r="AH7" s="1"/>
  <c r="AG6"/>
  <c r="AG7" s="1"/>
  <c r="AF6"/>
  <c r="AN6" s="1"/>
  <c r="AN7" s="1"/>
  <c r="AN5"/>
  <c r="AM5"/>
  <c r="AL5"/>
  <c r="AK5"/>
  <c r="AJ5"/>
  <c r="AI5"/>
  <c r="AH5"/>
  <c r="AG5"/>
  <c r="S84"/>
  <c r="R84"/>
  <c r="Q84"/>
  <c r="P84"/>
  <c r="O84"/>
  <c r="N84"/>
  <c r="M84"/>
  <c r="L84"/>
  <c r="T84" s="1"/>
  <c r="S80"/>
  <c r="R80"/>
  <c r="Q80"/>
  <c r="P80"/>
  <c r="O80"/>
  <c r="N80"/>
  <c r="M80"/>
  <c r="L80"/>
  <c r="S76"/>
  <c r="R76"/>
  <c r="Q76"/>
  <c r="P76"/>
  <c r="O76"/>
  <c r="N76"/>
  <c r="M76"/>
  <c r="L76"/>
  <c r="S74"/>
  <c r="S75" s="1"/>
  <c r="R74"/>
  <c r="R75" s="1"/>
  <c r="Q74"/>
  <c r="Q75" s="1"/>
  <c r="P74"/>
  <c r="P75" s="1"/>
  <c r="O74"/>
  <c r="O75" s="1"/>
  <c r="N74"/>
  <c r="N75" s="1"/>
  <c r="M74"/>
  <c r="M75" s="1"/>
  <c r="L74"/>
  <c r="T74" s="1"/>
  <c r="S72"/>
  <c r="S73" s="1"/>
  <c r="R72"/>
  <c r="R73" s="1"/>
  <c r="Q72"/>
  <c r="Q73" s="1"/>
  <c r="P72"/>
  <c r="P73" s="1"/>
  <c r="O72"/>
  <c r="O73" s="1"/>
  <c r="N72"/>
  <c r="N73" s="1"/>
  <c r="M72"/>
  <c r="M73" s="1"/>
  <c r="L72"/>
  <c r="T72" s="1"/>
  <c r="T73" s="1"/>
  <c r="S70"/>
  <c r="S71" s="1"/>
  <c r="R70"/>
  <c r="R71" s="1"/>
  <c r="Q70"/>
  <c r="Q71" s="1"/>
  <c r="P70"/>
  <c r="P71" s="1"/>
  <c r="O70"/>
  <c r="O71" s="1"/>
  <c r="N70"/>
  <c r="N71" s="1"/>
  <c r="M70"/>
  <c r="M71" s="1"/>
  <c r="L70"/>
  <c r="T70" s="1"/>
  <c r="T71" s="1"/>
  <c r="S68"/>
  <c r="S69" s="1"/>
  <c r="R68"/>
  <c r="R69" s="1"/>
  <c r="Q68"/>
  <c r="Q69" s="1"/>
  <c r="P68"/>
  <c r="P69" s="1"/>
  <c r="O68"/>
  <c r="O69" s="1"/>
  <c r="N68"/>
  <c r="N69" s="1"/>
  <c r="M68"/>
  <c r="M69" s="1"/>
  <c r="L68"/>
  <c r="T68" s="1"/>
  <c r="T69" s="1"/>
  <c r="S66"/>
  <c r="S67" s="1"/>
  <c r="R66"/>
  <c r="R67" s="1"/>
  <c r="Q66"/>
  <c r="Q67" s="1"/>
  <c r="P66"/>
  <c r="P67" s="1"/>
  <c r="O66"/>
  <c r="O67" s="1"/>
  <c r="N66"/>
  <c r="N67" s="1"/>
  <c r="M66"/>
  <c r="M67" s="1"/>
  <c r="L66"/>
  <c r="T66" s="1"/>
  <c r="T67" s="1"/>
  <c r="S64"/>
  <c r="S65" s="1"/>
  <c r="R64"/>
  <c r="R65" s="1"/>
  <c r="Q64"/>
  <c r="Q65" s="1"/>
  <c r="P64"/>
  <c r="P65" s="1"/>
  <c r="O64"/>
  <c r="O65" s="1"/>
  <c r="N64"/>
  <c r="N65" s="1"/>
  <c r="M64"/>
  <c r="M65" s="1"/>
  <c r="L64"/>
  <c r="T64" s="1"/>
  <c r="T65" s="1"/>
  <c r="S62"/>
  <c r="S63" s="1"/>
  <c r="R62"/>
  <c r="R63" s="1"/>
  <c r="Q62"/>
  <c r="Q63" s="1"/>
  <c r="P62"/>
  <c r="P63" s="1"/>
  <c r="O62"/>
  <c r="O63" s="1"/>
  <c r="N62"/>
  <c r="N63" s="1"/>
  <c r="M62"/>
  <c r="M63" s="1"/>
  <c r="L62"/>
  <c r="T62" s="1"/>
  <c r="T63" s="1"/>
  <c r="S60"/>
  <c r="S61" s="1"/>
  <c r="R60"/>
  <c r="R61" s="1"/>
  <c r="Q60"/>
  <c r="Q61" s="1"/>
  <c r="P60"/>
  <c r="P61" s="1"/>
  <c r="O60"/>
  <c r="O61" s="1"/>
  <c r="N60"/>
  <c r="N61" s="1"/>
  <c r="M60"/>
  <c r="M61" s="1"/>
  <c r="L60"/>
  <c r="T60" s="1"/>
  <c r="T61" s="1"/>
  <c r="S58"/>
  <c r="S59" s="1"/>
  <c r="R58"/>
  <c r="R59" s="1"/>
  <c r="Q58"/>
  <c r="Q59" s="1"/>
  <c r="P58"/>
  <c r="P59" s="1"/>
  <c r="O58"/>
  <c r="O59" s="1"/>
  <c r="N58"/>
  <c r="N59" s="1"/>
  <c r="M58"/>
  <c r="M59" s="1"/>
  <c r="L58"/>
  <c r="T58" s="1"/>
  <c r="T59" s="1"/>
  <c r="S56"/>
  <c r="S57" s="1"/>
  <c r="R56"/>
  <c r="R57" s="1"/>
  <c r="Q56"/>
  <c r="Q57" s="1"/>
  <c r="P56"/>
  <c r="P57" s="1"/>
  <c r="O56"/>
  <c r="O57" s="1"/>
  <c r="N56"/>
  <c r="N57" s="1"/>
  <c r="M56"/>
  <c r="M57" s="1"/>
  <c r="L56"/>
  <c r="T56" s="1"/>
  <c r="T57" s="1"/>
  <c r="S54"/>
  <c r="S55" s="1"/>
  <c r="R54"/>
  <c r="R55" s="1"/>
  <c r="Q54"/>
  <c r="Q55" s="1"/>
  <c r="P54"/>
  <c r="P55" s="1"/>
  <c r="O54"/>
  <c r="O55" s="1"/>
  <c r="N54"/>
  <c r="N55" s="1"/>
  <c r="M54"/>
  <c r="M55" s="1"/>
  <c r="L54"/>
  <c r="T54" s="1"/>
  <c r="T55" s="1"/>
  <c r="S52"/>
  <c r="S53" s="1"/>
  <c r="R52"/>
  <c r="R53" s="1"/>
  <c r="Q52"/>
  <c r="Q53" s="1"/>
  <c r="P52"/>
  <c r="P53" s="1"/>
  <c r="O52"/>
  <c r="O53" s="1"/>
  <c r="N52"/>
  <c r="N53" s="1"/>
  <c r="M52"/>
  <c r="M53" s="1"/>
  <c r="L52"/>
  <c r="T52" s="1"/>
  <c r="T53" s="1"/>
  <c r="S50"/>
  <c r="S51" s="1"/>
  <c r="R50"/>
  <c r="R51" s="1"/>
  <c r="Q50"/>
  <c r="Q51" s="1"/>
  <c r="P50"/>
  <c r="P51" s="1"/>
  <c r="O50"/>
  <c r="O51" s="1"/>
  <c r="N50"/>
  <c r="N51" s="1"/>
  <c r="M50"/>
  <c r="M51" s="1"/>
  <c r="L50"/>
  <c r="T50" s="1"/>
  <c r="T51" s="1"/>
  <c r="S48"/>
  <c r="S49" s="1"/>
  <c r="R48"/>
  <c r="R49" s="1"/>
  <c r="Q48"/>
  <c r="Q49" s="1"/>
  <c r="P48"/>
  <c r="P49" s="1"/>
  <c r="O48"/>
  <c r="O49" s="1"/>
  <c r="N48"/>
  <c r="N49" s="1"/>
  <c r="M48"/>
  <c r="M49" s="1"/>
  <c r="L48"/>
  <c r="T48" s="1"/>
  <c r="T49" s="1"/>
  <c r="T47"/>
  <c r="S47"/>
  <c r="R47"/>
  <c r="Q47"/>
  <c r="P47"/>
  <c r="O47"/>
  <c r="N47"/>
  <c r="M47"/>
  <c r="Q10"/>
  <c r="M8"/>
  <c r="M9" s="1"/>
  <c r="N8"/>
  <c r="O8"/>
  <c r="O9" s="1"/>
  <c r="P8"/>
  <c r="Q8"/>
  <c r="Q9" s="1"/>
  <c r="R8"/>
  <c r="S8"/>
  <c r="M10"/>
  <c r="N10"/>
  <c r="O10"/>
  <c r="P10"/>
  <c r="R10"/>
  <c r="S10"/>
  <c r="S11" s="1"/>
  <c r="M12"/>
  <c r="N12"/>
  <c r="N13" s="1"/>
  <c r="O12"/>
  <c r="P12"/>
  <c r="P13" s="1"/>
  <c r="Q12"/>
  <c r="R12"/>
  <c r="R13" s="1"/>
  <c r="S12"/>
  <c r="M14"/>
  <c r="M15" s="1"/>
  <c r="N14"/>
  <c r="O14"/>
  <c r="O15" s="1"/>
  <c r="P14"/>
  <c r="Q14"/>
  <c r="Q15" s="1"/>
  <c r="R14"/>
  <c r="S14"/>
  <c r="S15" s="1"/>
  <c r="M16"/>
  <c r="N16"/>
  <c r="N17" s="1"/>
  <c r="O16"/>
  <c r="P16"/>
  <c r="P17" s="1"/>
  <c r="Q16"/>
  <c r="R16"/>
  <c r="R17" s="1"/>
  <c r="S16"/>
  <c r="M18"/>
  <c r="M19" s="1"/>
  <c r="N18"/>
  <c r="O18"/>
  <c r="O19" s="1"/>
  <c r="P18"/>
  <c r="Q18"/>
  <c r="Q19" s="1"/>
  <c r="R18"/>
  <c r="S18"/>
  <c r="S19" s="1"/>
  <c r="M20"/>
  <c r="N20"/>
  <c r="N21" s="1"/>
  <c r="O20"/>
  <c r="P20"/>
  <c r="P21" s="1"/>
  <c r="Q20"/>
  <c r="R20"/>
  <c r="R21" s="1"/>
  <c r="S20"/>
  <c r="M22"/>
  <c r="M23" s="1"/>
  <c r="N22"/>
  <c r="O22"/>
  <c r="O23" s="1"/>
  <c r="P22"/>
  <c r="Q22"/>
  <c r="Q23" s="1"/>
  <c r="R22"/>
  <c r="S22"/>
  <c r="S23" s="1"/>
  <c r="M24"/>
  <c r="N24"/>
  <c r="N25" s="1"/>
  <c r="O24"/>
  <c r="P24"/>
  <c r="P25" s="1"/>
  <c r="Q24"/>
  <c r="R24"/>
  <c r="R25" s="1"/>
  <c r="S24"/>
  <c r="M26"/>
  <c r="M27" s="1"/>
  <c r="N26"/>
  <c r="O26"/>
  <c r="O27" s="1"/>
  <c r="P26"/>
  <c r="Q26"/>
  <c r="Q27" s="1"/>
  <c r="R26"/>
  <c r="S26"/>
  <c r="S27" s="1"/>
  <c r="M28"/>
  <c r="N28"/>
  <c r="N29" s="1"/>
  <c r="O28"/>
  <c r="P28"/>
  <c r="P29" s="1"/>
  <c r="Q28"/>
  <c r="R28"/>
  <c r="R29" s="1"/>
  <c r="S28"/>
  <c r="M30"/>
  <c r="M31" s="1"/>
  <c r="N30"/>
  <c r="O30"/>
  <c r="O31" s="1"/>
  <c r="P30"/>
  <c r="Q30"/>
  <c r="Q31" s="1"/>
  <c r="R30"/>
  <c r="S30"/>
  <c r="S31" s="1"/>
  <c r="M32"/>
  <c r="N32"/>
  <c r="N33" s="1"/>
  <c r="O32"/>
  <c r="P32"/>
  <c r="P33" s="1"/>
  <c r="Q32"/>
  <c r="R32"/>
  <c r="R33" s="1"/>
  <c r="S32"/>
  <c r="M34"/>
  <c r="M35" s="1"/>
  <c r="N34"/>
  <c r="O34"/>
  <c r="O35" s="1"/>
  <c r="P34"/>
  <c r="Q34"/>
  <c r="Q35" s="1"/>
  <c r="R34"/>
  <c r="S34"/>
  <c r="S35" s="1"/>
  <c r="M36"/>
  <c r="N36"/>
  <c r="N37" s="1"/>
  <c r="O36"/>
  <c r="P36"/>
  <c r="P37" s="1"/>
  <c r="Q36"/>
  <c r="R36"/>
  <c r="R37" s="1"/>
  <c r="S36"/>
  <c r="M38"/>
  <c r="M39" s="1"/>
  <c r="N38"/>
  <c r="O38"/>
  <c r="O39" s="1"/>
  <c r="P38"/>
  <c r="Q38"/>
  <c r="Q39" s="1"/>
  <c r="R38"/>
  <c r="S38"/>
  <c r="S39" s="1"/>
  <c r="M40"/>
  <c r="N40"/>
  <c r="N41" s="1"/>
  <c r="O40"/>
  <c r="P40"/>
  <c r="P41" s="1"/>
  <c r="Q40"/>
  <c r="R40"/>
  <c r="R41" s="1"/>
  <c r="S40"/>
  <c r="M42"/>
  <c r="N42"/>
  <c r="O42"/>
  <c r="P42"/>
  <c r="Q42"/>
  <c r="R42"/>
  <c r="S42"/>
  <c r="M6"/>
  <c r="N6"/>
  <c r="N7" s="1"/>
  <c r="O6"/>
  <c r="P6"/>
  <c r="P7" s="1"/>
  <c r="Q6"/>
  <c r="R6"/>
  <c r="R7" s="1"/>
  <c r="S6"/>
  <c r="L8"/>
  <c r="T8" s="1"/>
  <c r="T9" s="1"/>
  <c r="L10"/>
  <c r="T10" s="1"/>
  <c r="L12"/>
  <c r="T12" s="1"/>
  <c r="T13" s="1"/>
  <c r="L14"/>
  <c r="T14" s="1"/>
  <c r="L16"/>
  <c r="T16" s="1"/>
  <c r="T17" s="1"/>
  <c r="L18"/>
  <c r="T18" s="1"/>
  <c r="L20"/>
  <c r="T20" s="1"/>
  <c r="T21" s="1"/>
  <c r="L22"/>
  <c r="T22" s="1"/>
  <c r="L24"/>
  <c r="T24" s="1"/>
  <c r="T25" s="1"/>
  <c r="L26"/>
  <c r="T26" s="1"/>
  <c r="L28"/>
  <c r="T28" s="1"/>
  <c r="T29" s="1"/>
  <c r="L30"/>
  <c r="T30" s="1"/>
  <c r="L32"/>
  <c r="T32" s="1"/>
  <c r="T33" s="1"/>
  <c r="L34"/>
  <c r="T34" s="1"/>
  <c r="L36"/>
  <c r="T36" s="1"/>
  <c r="T37" s="1"/>
  <c r="L38"/>
  <c r="T38" s="1"/>
  <c r="L40"/>
  <c r="T40" s="1"/>
  <c r="T41" s="1"/>
  <c r="L42"/>
  <c r="T42" s="1"/>
  <c r="L6"/>
  <c r="T6" s="1"/>
  <c r="T7" s="1"/>
  <c r="T5"/>
  <c r="S5"/>
  <c r="R5"/>
  <c r="Q5"/>
  <c r="P5"/>
  <c r="O5"/>
  <c r="N5"/>
  <c r="M5"/>
  <c r="AG50" i="1"/>
  <c r="BK50" s="1"/>
  <c r="AG51"/>
  <c r="BK51" s="1"/>
  <c r="BL51" s="1"/>
  <c r="N11"/>
  <c r="N12"/>
  <c r="O57" l="1"/>
  <c r="AJ55"/>
  <c r="T59"/>
  <c r="AM59"/>
  <c r="O62"/>
  <c r="J20" i="4" s="1"/>
  <c r="O58" i="1"/>
  <c r="R62"/>
  <c r="M20" i="4" s="1"/>
  <c r="R58" i="1"/>
  <c r="R33"/>
  <c r="S33"/>
  <c r="P60"/>
  <c r="Q60"/>
  <c r="AK62"/>
  <c r="T62" s="1"/>
  <c r="O20" i="4" s="1"/>
  <c r="S31" i="1"/>
  <c r="T31"/>
  <c r="AL59"/>
  <c r="S59" s="1"/>
  <c r="P62"/>
  <c r="K20" i="4" s="1"/>
  <c r="P58" i="1"/>
  <c r="Q62"/>
  <c r="L20" i="4" s="1"/>
  <c r="Q58" i="1"/>
  <c r="AM61"/>
  <c r="T61" s="1"/>
  <c r="Q59"/>
  <c r="AJ58"/>
  <c r="S58" s="1"/>
  <c r="R61"/>
  <c r="AK60"/>
  <c r="T60" s="1"/>
  <c r="O60"/>
  <c r="R60"/>
  <c r="AJ62"/>
  <c r="S62" s="1"/>
  <c r="N20" i="4" s="1"/>
  <c r="AL61" i="1"/>
  <c r="S61" s="1"/>
  <c r="R59"/>
  <c r="AK58"/>
  <c r="T58" s="1"/>
  <c r="Q61"/>
  <c r="AJ60"/>
  <c r="S60" s="1"/>
  <c r="Q34"/>
  <c r="AK35"/>
  <c r="T35" s="1"/>
  <c r="AK36"/>
  <c r="T36" s="1"/>
  <c r="O23" i="5" s="1"/>
  <c r="AM34" i="1"/>
  <c r="T34" s="1"/>
  <c r="Q33"/>
  <c r="R34"/>
  <c r="AJ35"/>
  <c r="S35" s="1"/>
  <c r="AJ36"/>
  <c r="S36" s="1"/>
  <c r="N23" i="5" s="1"/>
  <c r="AL34" i="1"/>
  <c r="S34" s="1"/>
  <c r="S43"/>
  <c r="F13" s="1"/>
  <c r="BX49"/>
  <c r="BX28"/>
  <c r="BN48"/>
  <c r="BW28"/>
  <c r="BX47"/>
  <c r="BZ53"/>
  <c r="BR54"/>
  <c r="BZ49"/>
  <c r="P55"/>
  <c r="BK46"/>
  <c r="BN46" s="1"/>
  <c r="BT48"/>
  <c r="AK48" s="1"/>
  <c r="AM57"/>
  <c r="T57" s="1"/>
  <c r="AM55"/>
  <c r="T55" s="1"/>
  <c r="AL56"/>
  <c r="S56" s="1"/>
  <c r="BS54"/>
  <c r="AK54" s="1"/>
  <c r="BW47"/>
  <c r="BS52"/>
  <c r="AK52" s="1"/>
  <c r="P56"/>
  <c r="BR49"/>
  <c r="BN49"/>
  <c r="BT49"/>
  <c r="O55"/>
  <c r="Q56"/>
  <c r="R57"/>
  <c r="Q55"/>
  <c r="AL57"/>
  <c r="S57" s="1"/>
  <c r="AL55"/>
  <c r="S55" s="1"/>
  <c r="AM56"/>
  <c r="T56" s="1"/>
  <c r="Q57"/>
  <c r="R55"/>
  <c r="R56"/>
  <c r="BI23"/>
  <c r="R23" s="1"/>
  <c r="BI25"/>
  <c r="BA26"/>
  <c r="BH23"/>
  <c r="BN28"/>
  <c r="BZ28"/>
  <c r="AM28" s="1"/>
  <c r="BW24"/>
  <c r="BI29"/>
  <c r="AK30"/>
  <c r="T30" s="1"/>
  <c r="AJ30"/>
  <c r="S30" s="1"/>
  <c r="BR47"/>
  <c r="BZ47"/>
  <c r="BT47"/>
  <c r="BN47"/>
  <c r="BT53"/>
  <c r="BR53"/>
  <c r="BN51"/>
  <c r="BY52"/>
  <c r="AX25"/>
  <c r="BB25" s="1"/>
  <c r="BG27"/>
  <c r="BX53"/>
  <c r="BR48"/>
  <c r="AJ48" s="1"/>
  <c r="BN53"/>
  <c r="BA18"/>
  <c r="BA24"/>
  <c r="BS51"/>
  <c r="BZ48"/>
  <c r="BA21"/>
  <c r="BW52"/>
  <c r="AL52" s="1"/>
  <c r="BX51"/>
  <c r="AL51" s="1"/>
  <c r="BI27"/>
  <c r="P72"/>
  <c r="G65"/>
  <c r="BY19"/>
  <c r="BJ27"/>
  <c r="BH25"/>
  <c r="BD23"/>
  <c r="P23" s="1"/>
  <c r="BR27"/>
  <c r="BT27"/>
  <c r="AX21"/>
  <c r="BX21" s="1"/>
  <c r="AX18"/>
  <c r="BD18" s="1"/>
  <c r="BZ27"/>
  <c r="BD27"/>
  <c r="BB27"/>
  <c r="BH27"/>
  <c r="AX26"/>
  <c r="BZ26" s="1"/>
  <c r="AX22"/>
  <c r="BZ22" s="1"/>
  <c r="AX19"/>
  <c r="BD19" s="1"/>
  <c r="BI19"/>
  <c r="BM19"/>
  <c r="BW19"/>
  <c r="BG19"/>
  <c r="BC19"/>
  <c r="BI20"/>
  <c r="BS50"/>
  <c r="BZ52"/>
  <c r="BS27"/>
  <c r="BQ52"/>
  <c r="AJ52" s="1"/>
  <c r="T211" i="3"/>
  <c r="K102" i="1" s="1"/>
  <c r="J161" i="3"/>
  <c r="L168" s="1"/>
  <c r="N178"/>
  <c r="L165" s="1"/>
  <c r="R204"/>
  <c r="U43"/>
  <c r="T80" i="1" s="1"/>
  <c r="K65" s="1"/>
  <c r="C72" s="1"/>
  <c r="S297" i="3" s="1"/>
  <c r="BX23" i="1"/>
  <c r="AL23" s="1"/>
  <c r="BB23"/>
  <c r="BT51"/>
  <c r="BW50"/>
  <c r="BQ27"/>
  <c r="BA27"/>
  <c r="BA19"/>
  <c r="BZ23"/>
  <c r="BM22"/>
  <c r="BG29"/>
  <c r="BY47"/>
  <c r="BD24"/>
  <c r="P24" s="1"/>
  <c r="BW26"/>
  <c r="BA23"/>
  <c r="BA25"/>
  <c r="BW48"/>
  <c r="BS26"/>
  <c r="BC27"/>
  <c r="BW22"/>
  <c r="P121" i="3"/>
  <c r="N15" i="1" s="1"/>
  <c r="AE48"/>
  <c r="AF48"/>
  <c r="BS25"/>
  <c r="BQ25"/>
  <c r="BT28"/>
  <c r="BS28"/>
  <c r="BR28"/>
  <c r="BQ28"/>
  <c r="BH26"/>
  <c r="BG26"/>
  <c r="AE46"/>
  <c r="AF46"/>
  <c r="AF53"/>
  <c r="AE53"/>
  <c r="AE49"/>
  <c r="AF49"/>
  <c r="BQ21"/>
  <c r="BS21"/>
  <c r="BS19"/>
  <c r="BQ19"/>
  <c r="BW29"/>
  <c r="BY29"/>
  <c r="BT24"/>
  <c r="BS24"/>
  <c r="BR24"/>
  <c r="BQ24"/>
  <c r="BH24"/>
  <c r="BG24"/>
  <c r="BJ24"/>
  <c r="BG18"/>
  <c r="BM21"/>
  <c r="BI26"/>
  <c r="BX27"/>
  <c r="BW18"/>
  <c r="BS47"/>
  <c r="BX48"/>
  <c r="BZ54"/>
  <c r="BY51"/>
  <c r="BM29"/>
  <c r="BR51"/>
  <c r="AJ51" s="1"/>
  <c r="BQ20"/>
  <c r="BZ24"/>
  <c r="AM24" s="1"/>
  <c r="BX24"/>
  <c r="BI24"/>
  <c r="BY23"/>
  <c r="BY27"/>
  <c r="BB24"/>
  <c r="BC22"/>
  <c r="BC18"/>
  <c r="BC25"/>
  <c r="BW25"/>
  <c r="BY25"/>
  <c r="BS18"/>
  <c r="BQ18"/>
  <c r="BG22"/>
  <c r="G90"/>
  <c r="H90" s="1"/>
  <c r="BM26"/>
  <c r="BY48"/>
  <c r="BQ47"/>
  <c r="BM18"/>
  <c r="BM48"/>
  <c r="BS22"/>
  <c r="BI21"/>
  <c r="BY22"/>
  <c r="BY26"/>
  <c r="BI22"/>
  <c r="BY18"/>
  <c r="AF52"/>
  <c r="AE52"/>
  <c r="AE54"/>
  <c r="AF54"/>
  <c r="AF47"/>
  <c r="AE47"/>
  <c r="BS29"/>
  <c r="BQ29"/>
  <c r="BW21"/>
  <c r="BY21"/>
  <c r="BC21"/>
  <c r="BG21"/>
  <c r="BG25"/>
  <c r="BM47"/>
  <c r="BM25"/>
  <c r="BI18"/>
  <c r="BC20"/>
  <c r="BT23"/>
  <c r="BQ22"/>
  <c r="BQ26"/>
  <c r="BW27"/>
  <c r="BC26"/>
  <c r="BQ23"/>
  <c r="AJ23" s="1"/>
  <c r="BS23"/>
  <c r="BL50"/>
  <c r="AX50"/>
  <c r="BR50" s="1"/>
  <c r="AF50"/>
  <c r="AE50"/>
  <c r="BY20"/>
  <c r="BW20"/>
  <c r="BR20"/>
  <c r="BJ20"/>
  <c r="BZ20"/>
  <c r="BX20"/>
  <c r="BT20"/>
  <c r="AK20" s="1"/>
  <c r="BH20"/>
  <c r="Q20" s="1"/>
  <c r="BD20"/>
  <c r="BB20"/>
  <c r="O20" s="1"/>
  <c r="BZ51"/>
  <c r="BM51"/>
  <c r="AF51"/>
  <c r="AE51"/>
  <c r="BM27"/>
  <c r="BN27"/>
  <c r="BN23"/>
  <c r="BM23"/>
  <c r="BQ46"/>
  <c r="BY46"/>
  <c r="BW46"/>
  <c r="BS46"/>
  <c r="BZ46"/>
  <c r="BR46"/>
  <c r="BT46"/>
  <c r="BX46"/>
  <c r="BM46"/>
  <c r="BM54"/>
  <c r="BQ54"/>
  <c r="BY54"/>
  <c r="BY50"/>
  <c r="BM50"/>
  <c r="BQ50"/>
  <c r="BW54"/>
  <c r="AL54" s="1"/>
  <c r="BY49"/>
  <c r="AM49" s="1"/>
  <c r="BS49"/>
  <c r="BW49"/>
  <c r="BY53"/>
  <c r="BS53"/>
  <c r="BW53"/>
  <c r="BQ49"/>
  <c r="BQ53"/>
  <c r="BM49"/>
  <c r="BM53"/>
  <c r="Q23"/>
  <c r="BS17"/>
  <c r="BY17"/>
  <c r="BW17"/>
  <c r="BQ17"/>
  <c r="BI17"/>
  <c r="BM28"/>
  <c r="BH28"/>
  <c r="BJ28"/>
  <c r="BI28"/>
  <c r="BG28"/>
  <c r="BA28"/>
  <c r="BC28"/>
  <c r="BB28"/>
  <c r="BD28"/>
  <c r="BG17"/>
  <c r="BM17"/>
  <c r="AX29"/>
  <c r="AZ29"/>
  <c r="BC29" s="1"/>
  <c r="AZ17"/>
  <c r="BC17" s="1"/>
  <c r="T39" i="2"/>
  <c r="T35"/>
  <c r="T31"/>
  <c r="T27"/>
  <c r="T23"/>
  <c r="T19"/>
  <c r="T15"/>
  <c r="T11"/>
  <c r="S7"/>
  <c r="Q7"/>
  <c r="O7"/>
  <c r="M7"/>
  <c r="S41"/>
  <c r="Q41"/>
  <c r="O41"/>
  <c r="M41"/>
  <c r="R39"/>
  <c r="P39"/>
  <c r="N39"/>
  <c r="S37"/>
  <c r="Q37"/>
  <c r="O37"/>
  <c r="M37"/>
  <c r="R35"/>
  <c r="P35"/>
  <c r="N35"/>
  <c r="S33"/>
  <c r="Q33"/>
  <c r="O33"/>
  <c r="M33"/>
  <c r="R31"/>
  <c r="P31"/>
  <c r="N31"/>
  <c r="S29"/>
  <c r="Q29"/>
  <c r="O29"/>
  <c r="M29"/>
  <c r="R27"/>
  <c r="P27"/>
  <c r="N27"/>
  <c r="S25"/>
  <c r="Q25"/>
  <c r="O25"/>
  <c r="M25"/>
  <c r="R23"/>
  <c r="P23"/>
  <c r="N23"/>
  <c r="S21"/>
  <c r="Q21"/>
  <c r="O21"/>
  <c r="M21"/>
  <c r="R19"/>
  <c r="P19"/>
  <c r="N19"/>
  <c r="S17"/>
  <c r="Q17"/>
  <c r="O17"/>
  <c r="M17"/>
  <c r="R15"/>
  <c r="P15"/>
  <c r="P11"/>
  <c r="N11"/>
  <c r="S9"/>
  <c r="T76"/>
  <c r="T75" s="1"/>
  <c r="L78"/>
  <c r="N77"/>
  <c r="N78"/>
  <c r="N79" s="1"/>
  <c r="P77"/>
  <c r="P78"/>
  <c r="P79" s="1"/>
  <c r="R77"/>
  <c r="R78"/>
  <c r="R79" s="1"/>
  <c r="T80"/>
  <c r="L82"/>
  <c r="N81"/>
  <c r="N82"/>
  <c r="N83" s="1"/>
  <c r="P81"/>
  <c r="P82"/>
  <c r="P83" s="1"/>
  <c r="R81"/>
  <c r="R82"/>
  <c r="R83" s="1"/>
  <c r="AM19"/>
  <c r="AK19"/>
  <c r="AI19"/>
  <c r="AG19"/>
  <c r="AM81"/>
  <c r="AM82"/>
  <c r="AM83" s="1"/>
  <c r="AK81"/>
  <c r="AK82"/>
  <c r="AK83" s="1"/>
  <c r="AI81"/>
  <c r="AI82"/>
  <c r="AI83" s="1"/>
  <c r="AG81"/>
  <c r="AG82"/>
  <c r="AG83" s="1"/>
  <c r="AL77"/>
  <c r="AL78"/>
  <c r="AL79" s="1"/>
  <c r="AJ77"/>
  <c r="AJ78"/>
  <c r="AJ79" s="1"/>
  <c r="AH77"/>
  <c r="AH78"/>
  <c r="AH79" s="1"/>
  <c r="AN76"/>
  <c r="AF78"/>
  <c r="AF79" s="1"/>
  <c r="N15"/>
  <c r="S13"/>
  <c r="Q13"/>
  <c r="O13"/>
  <c r="M13"/>
  <c r="R11"/>
  <c r="O11"/>
  <c r="M11"/>
  <c r="R9"/>
  <c r="P9"/>
  <c r="N9"/>
  <c r="Q11"/>
  <c r="M77"/>
  <c r="M78"/>
  <c r="M79" s="1"/>
  <c r="O77"/>
  <c r="O78"/>
  <c r="O79" s="1"/>
  <c r="Q77"/>
  <c r="Q78"/>
  <c r="Q79" s="1"/>
  <c r="S77"/>
  <c r="S78"/>
  <c r="S79" s="1"/>
  <c r="M81"/>
  <c r="M82"/>
  <c r="M83" s="1"/>
  <c r="O81"/>
  <c r="O82"/>
  <c r="O83" s="1"/>
  <c r="Q81"/>
  <c r="Q82"/>
  <c r="Q83" s="1"/>
  <c r="S81"/>
  <c r="S82"/>
  <c r="S83" s="1"/>
  <c r="AM49"/>
  <c r="AN41"/>
  <c r="AL41"/>
  <c r="AJ41"/>
  <c r="AH41"/>
  <c r="AF41"/>
  <c r="AM39"/>
  <c r="AK39"/>
  <c r="AI39"/>
  <c r="AG39"/>
  <c r="AN37"/>
  <c r="AL37"/>
  <c r="AJ37"/>
  <c r="AH37"/>
  <c r="AF37"/>
  <c r="AM35"/>
  <c r="AK35"/>
  <c r="AI35"/>
  <c r="AG35"/>
  <c r="AN33"/>
  <c r="AL33"/>
  <c r="AJ33"/>
  <c r="AH33"/>
  <c r="AF33"/>
  <c r="AM31"/>
  <c r="AK31"/>
  <c r="AI31"/>
  <c r="AG31"/>
  <c r="AN29"/>
  <c r="AL29"/>
  <c r="AJ29"/>
  <c r="AH29"/>
  <c r="AF29"/>
  <c r="AM27"/>
  <c r="AK27"/>
  <c r="AI27"/>
  <c r="AG27"/>
  <c r="AN25"/>
  <c r="AL25"/>
  <c r="AJ25"/>
  <c r="AH25"/>
  <c r="AF25"/>
  <c r="AM23"/>
  <c r="AK23"/>
  <c r="AI23"/>
  <c r="AG23"/>
  <c r="AN21"/>
  <c r="AL21"/>
  <c r="AJ21"/>
  <c r="AH21"/>
  <c r="AF21"/>
  <c r="AL19"/>
  <c r="AJ19"/>
  <c r="AH19"/>
  <c r="AN19"/>
  <c r="AM17"/>
  <c r="AK17"/>
  <c r="AI17"/>
  <c r="AG17"/>
  <c r="AN15"/>
  <c r="AL15"/>
  <c r="AJ15"/>
  <c r="AH15"/>
  <c r="AF15"/>
  <c r="AM13"/>
  <c r="AK13"/>
  <c r="AI13"/>
  <c r="AG13"/>
  <c r="AN11"/>
  <c r="AL11"/>
  <c r="AJ11"/>
  <c r="AH11"/>
  <c r="AF11"/>
  <c r="AM9"/>
  <c r="AK9"/>
  <c r="AI9"/>
  <c r="AG9"/>
  <c r="AN82"/>
  <c r="AN83" s="1"/>
  <c r="AL82"/>
  <c r="AL83" s="1"/>
  <c r="AJ82"/>
  <c r="AJ83" s="1"/>
  <c r="AH82"/>
  <c r="AH83" s="1"/>
  <c r="AF82"/>
  <c r="AF83" s="1"/>
  <c r="AM78"/>
  <c r="AM79" s="1"/>
  <c r="AK78"/>
  <c r="AK79" s="1"/>
  <c r="AI78"/>
  <c r="AI79" s="1"/>
  <c r="AG78"/>
  <c r="AG79" s="1"/>
  <c r="AN75"/>
  <c r="AL75"/>
  <c r="AJ75"/>
  <c r="AH75"/>
  <c r="AF75"/>
  <c r="AM73"/>
  <c r="AK73"/>
  <c r="AI73"/>
  <c r="AG73"/>
  <c r="AN71"/>
  <c r="AL71"/>
  <c r="AJ71"/>
  <c r="AH71"/>
  <c r="AF71"/>
  <c r="AL69"/>
  <c r="AJ69"/>
  <c r="AH69"/>
  <c r="AN69"/>
  <c r="AM67"/>
  <c r="AK67"/>
  <c r="AI67"/>
  <c r="AG67"/>
  <c r="AN65"/>
  <c r="AL65"/>
  <c r="AJ65"/>
  <c r="AH65"/>
  <c r="AF65"/>
  <c r="AM63"/>
  <c r="AK63"/>
  <c r="AI63"/>
  <c r="AG63"/>
  <c r="AM61"/>
  <c r="AK61"/>
  <c r="AI61"/>
  <c r="AG61"/>
  <c r="AN59"/>
  <c r="AL59"/>
  <c r="AJ59"/>
  <c r="AH59"/>
  <c r="AF59"/>
  <c r="AM57"/>
  <c r="AK57"/>
  <c r="AI57"/>
  <c r="AG57"/>
  <c r="AN55"/>
  <c r="AL55"/>
  <c r="S91"/>
  <c r="Q91"/>
  <c r="O91"/>
  <c r="M91"/>
  <c r="M107"/>
  <c r="M103"/>
  <c r="S99"/>
  <c r="Q99"/>
  <c r="O99"/>
  <c r="M99"/>
  <c r="S95"/>
  <c r="Q95"/>
  <c r="O95"/>
  <c r="M95"/>
  <c r="AM69"/>
  <c r="AK69"/>
  <c r="AI69"/>
  <c r="AG69"/>
  <c r="AL61"/>
  <c r="AJ61"/>
  <c r="AH61"/>
  <c r="AN61"/>
  <c r="T90"/>
  <c r="T91" s="1"/>
  <c r="L91"/>
  <c r="S103"/>
  <c r="Q103"/>
  <c r="O103"/>
  <c r="T102"/>
  <c r="T103" s="1"/>
  <c r="L103"/>
  <c r="S101"/>
  <c r="Q101"/>
  <c r="O101"/>
  <c r="S127"/>
  <c r="Q127"/>
  <c r="O127"/>
  <c r="M127"/>
  <c r="AM119"/>
  <c r="AK119"/>
  <c r="AI119"/>
  <c r="AG119"/>
  <c r="AJ55"/>
  <c r="AH55"/>
  <c r="AF55"/>
  <c r="AM53"/>
  <c r="AK53"/>
  <c r="AI53"/>
  <c r="AG53"/>
  <c r="AN51"/>
  <c r="AL51"/>
  <c r="AJ51"/>
  <c r="AH51"/>
  <c r="AF51"/>
  <c r="S107"/>
  <c r="Q107"/>
  <c r="O107"/>
  <c r="T105"/>
  <c r="R105"/>
  <c r="P105"/>
  <c r="N105"/>
  <c r="L105"/>
  <c r="R103"/>
  <c r="P103"/>
  <c r="T101"/>
  <c r="R101"/>
  <c r="P101"/>
  <c r="N101"/>
  <c r="L101"/>
  <c r="T97"/>
  <c r="R97"/>
  <c r="P97"/>
  <c r="N97"/>
  <c r="L97"/>
  <c r="T93"/>
  <c r="R93"/>
  <c r="P93"/>
  <c r="N93"/>
  <c r="L93"/>
  <c r="T114"/>
  <c r="T115" s="1"/>
  <c r="L115"/>
  <c r="N115"/>
  <c r="P115"/>
  <c r="R115"/>
  <c r="AN90"/>
  <c r="AN91" s="1"/>
  <c r="AF91"/>
  <c r="AN114"/>
  <c r="AN115" s="1"/>
  <c r="AF115"/>
  <c r="AH115"/>
  <c r="AJ115"/>
  <c r="AL115"/>
  <c r="S131"/>
  <c r="Q131"/>
  <c r="O131"/>
  <c r="M131"/>
  <c r="T129"/>
  <c r="R129"/>
  <c r="P129"/>
  <c r="N129"/>
  <c r="L129"/>
  <c r="R127"/>
  <c r="P127"/>
  <c r="N127"/>
  <c r="T126"/>
  <c r="T127" s="1"/>
  <c r="L127"/>
  <c r="S125"/>
  <c r="Q125"/>
  <c r="O125"/>
  <c r="M125"/>
  <c r="T123"/>
  <c r="R123"/>
  <c r="P123"/>
  <c r="N123"/>
  <c r="L123"/>
  <c r="S121"/>
  <c r="Q121"/>
  <c r="O121"/>
  <c r="M121"/>
  <c r="T119"/>
  <c r="R119"/>
  <c r="P119"/>
  <c r="N119"/>
  <c r="L119"/>
  <c r="S117"/>
  <c r="Q117"/>
  <c r="O117"/>
  <c r="M117"/>
  <c r="AM131"/>
  <c r="AK131"/>
  <c r="AI131"/>
  <c r="AG131"/>
  <c r="AN129"/>
  <c r="AL129"/>
  <c r="AJ129"/>
  <c r="AH129"/>
  <c r="AF129"/>
  <c r="AM127"/>
  <c r="AK127"/>
  <c r="AI127"/>
  <c r="AG127"/>
  <c r="AN125"/>
  <c r="AL125"/>
  <c r="AJ125"/>
  <c r="AH125"/>
  <c r="AF125"/>
  <c r="AM123"/>
  <c r="AK123"/>
  <c r="AI123"/>
  <c r="AG123"/>
  <c r="AN121"/>
  <c r="AL121"/>
  <c r="AJ121"/>
  <c r="AH121"/>
  <c r="AF121"/>
  <c r="AL119"/>
  <c r="AJ119"/>
  <c r="AH119"/>
  <c r="AN118"/>
  <c r="AN119" s="1"/>
  <c r="AF119"/>
  <c r="AM117"/>
  <c r="AK117"/>
  <c r="AI117"/>
  <c r="AG117"/>
  <c r="AM107"/>
  <c r="AK107"/>
  <c r="AI107"/>
  <c r="AG107"/>
  <c r="AN105"/>
  <c r="AL105"/>
  <c r="AJ105"/>
  <c r="AH105"/>
  <c r="AF105"/>
  <c r="AN101"/>
  <c r="AL101"/>
  <c r="AJ101"/>
  <c r="AH101"/>
  <c r="AF101"/>
  <c r="AN97"/>
  <c r="AL97"/>
  <c r="AJ97"/>
  <c r="AH97"/>
  <c r="AF97"/>
  <c r="AN93"/>
  <c r="AL93"/>
  <c r="AJ93"/>
  <c r="AH93"/>
  <c r="AF93"/>
  <c r="AX17" i="1"/>
  <c r="F77" i="2"/>
  <c r="J77"/>
  <c r="V79"/>
  <c r="O108" i="1"/>
  <c r="O106"/>
  <c r="K112"/>
  <c r="M112" s="1"/>
  <c r="K114"/>
  <c r="M114" s="1"/>
  <c r="AF7" i="2"/>
  <c r="L9"/>
  <c r="L17"/>
  <c r="L25"/>
  <c r="L33"/>
  <c r="L41"/>
  <c r="L49"/>
  <c r="AF61"/>
  <c r="AF69"/>
  <c r="AF77"/>
  <c r="L7"/>
  <c r="L15"/>
  <c r="L23"/>
  <c r="L31"/>
  <c r="L39"/>
  <c r="L13"/>
  <c r="AF19"/>
  <c r="L21"/>
  <c r="L29"/>
  <c r="L37"/>
  <c r="AF49"/>
  <c r="L51"/>
  <c r="L53"/>
  <c r="L55"/>
  <c r="L57"/>
  <c r="L59"/>
  <c r="L61"/>
  <c r="L63"/>
  <c r="L65"/>
  <c r="L67"/>
  <c r="L69"/>
  <c r="L71"/>
  <c r="L73"/>
  <c r="L75"/>
  <c r="L77"/>
  <c r="L79"/>
  <c r="L81"/>
  <c r="L83"/>
  <c r="L11"/>
  <c r="L19"/>
  <c r="L27"/>
  <c r="L35"/>
  <c r="AL47" i="1" l="1"/>
  <c r="AL49"/>
  <c r="AL28"/>
  <c r="AM53"/>
  <c r="AJ54"/>
  <c r="S54" s="1"/>
  <c r="AK49"/>
  <c r="T49" s="1"/>
  <c r="AJ49"/>
  <c r="AM52"/>
  <c r="O24"/>
  <c r="AM47"/>
  <c r="AJ53"/>
  <c r="AL53"/>
  <c r="AM48"/>
  <c r="T48" s="1"/>
  <c r="R27"/>
  <c r="AL24"/>
  <c r="BT19"/>
  <c r="AK19" s="1"/>
  <c r="AK51"/>
  <c r="AM54"/>
  <c r="T54" s="1"/>
  <c r="AK53"/>
  <c r="T53" s="1"/>
  <c r="BZ18"/>
  <c r="AM18" s="1"/>
  <c r="AK47"/>
  <c r="AJ47"/>
  <c r="BX25"/>
  <c r="AL25" s="1"/>
  <c r="BD25"/>
  <c r="P25" s="1"/>
  <c r="BT25"/>
  <c r="AK25" s="1"/>
  <c r="Q25"/>
  <c r="BJ25"/>
  <c r="R25" s="1"/>
  <c r="BN25"/>
  <c r="BZ25"/>
  <c r="AM25" s="1"/>
  <c r="BR25"/>
  <c r="AJ25" s="1"/>
  <c r="O23"/>
  <c r="Q27"/>
  <c r="R20"/>
  <c r="O28"/>
  <c r="O25"/>
  <c r="O27"/>
  <c r="P27"/>
  <c r="S291" i="3"/>
  <c r="AK27" i="1"/>
  <c r="AM51"/>
  <c r="BH18"/>
  <c r="Q18" s="1"/>
  <c r="L5" i="5" s="1"/>
  <c r="BN18" i="1"/>
  <c r="P20"/>
  <c r="BR18"/>
  <c r="AJ18" s="1"/>
  <c r="P18"/>
  <c r="K5" i="5" s="1"/>
  <c r="AK23" i="1"/>
  <c r="BR21"/>
  <c r="AJ21" s="1"/>
  <c r="AJ20"/>
  <c r="AJ27"/>
  <c r="BX26"/>
  <c r="AL26" s="1"/>
  <c r="AM23"/>
  <c r="BD21"/>
  <c r="P21" s="1"/>
  <c r="BH21"/>
  <c r="Q21" s="1"/>
  <c r="BJ21"/>
  <c r="R21" s="1"/>
  <c r="BT21"/>
  <c r="AK21" s="1"/>
  <c r="BB21"/>
  <c r="O21" s="1"/>
  <c r="BZ21"/>
  <c r="AM21" s="1"/>
  <c r="BN21"/>
  <c r="P19"/>
  <c r="K6" i="5" s="1"/>
  <c r="BB18" i="1"/>
  <c r="O18" s="1"/>
  <c r="J5" i="5" s="1"/>
  <c r="BT18" i="1"/>
  <c r="AK18" s="1"/>
  <c r="BX18"/>
  <c r="AL18" s="1"/>
  <c r="BJ18"/>
  <c r="R18" s="1"/>
  <c r="M5" i="5" s="1"/>
  <c r="AM27" i="1"/>
  <c r="AL27"/>
  <c r="AM26"/>
  <c r="BR26"/>
  <c r="AJ26" s="1"/>
  <c r="BJ26"/>
  <c r="R26" s="1"/>
  <c r="BB26"/>
  <c r="O26" s="1"/>
  <c r="BT26"/>
  <c r="AK26" s="1"/>
  <c r="BN26"/>
  <c r="BD26"/>
  <c r="P26" s="1"/>
  <c r="BH22"/>
  <c r="Q22" s="1"/>
  <c r="BX22"/>
  <c r="AL22" s="1"/>
  <c r="BD22"/>
  <c r="P22" s="1"/>
  <c r="BR22"/>
  <c r="AJ22" s="1"/>
  <c r="BN22"/>
  <c r="BT22"/>
  <c r="AK22" s="1"/>
  <c r="BB22"/>
  <c r="O22" s="1"/>
  <c r="AM22"/>
  <c r="BJ22"/>
  <c r="R22" s="1"/>
  <c r="BN19"/>
  <c r="BR19"/>
  <c r="AJ19" s="1"/>
  <c r="BX19"/>
  <c r="AL19" s="1"/>
  <c r="BZ19"/>
  <c r="AM19" s="1"/>
  <c r="BH19"/>
  <c r="Q19" s="1"/>
  <c r="L6" i="5" s="1"/>
  <c r="BJ19" i="1"/>
  <c r="R19" s="1"/>
  <c r="M6" i="5" s="1"/>
  <c r="BB19" i="1"/>
  <c r="J6" i="5" s="1"/>
  <c r="AL48" i="1"/>
  <c r="S48" s="1"/>
  <c r="AL20"/>
  <c r="T204" i="3"/>
  <c r="K101" i="1" s="1"/>
  <c r="BN50"/>
  <c r="Q26"/>
  <c r="AJ24"/>
  <c r="AJ28"/>
  <c r="S28" s="1"/>
  <c r="BD29"/>
  <c r="P29" s="1"/>
  <c r="BJ29"/>
  <c r="R29" s="1"/>
  <c r="BN29"/>
  <c r="BH29"/>
  <c r="Q29" s="1"/>
  <c r="BF47"/>
  <c r="BE47"/>
  <c r="BE54"/>
  <c r="BF54"/>
  <c r="AY49"/>
  <c r="AZ49"/>
  <c r="AY46"/>
  <c r="AZ46" s="1"/>
  <c r="AZ48"/>
  <c r="AY48"/>
  <c r="BR29"/>
  <c r="AJ29" s="1"/>
  <c r="BX29"/>
  <c r="AL29" s="1"/>
  <c r="AZ47"/>
  <c r="AY47"/>
  <c r="BF52"/>
  <c r="BE52"/>
  <c r="BE49"/>
  <c r="BF49"/>
  <c r="BE46"/>
  <c r="BF46" s="1"/>
  <c r="BE48"/>
  <c r="BF48"/>
  <c r="AY52"/>
  <c r="AZ52"/>
  <c r="BF53"/>
  <c r="BE53"/>
  <c r="BT29"/>
  <c r="AK29" s="1"/>
  <c r="BZ29"/>
  <c r="AM29" s="1"/>
  <c r="AK28"/>
  <c r="T28" s="1"/>
  <c r="AZ54"/>
  <c r="AY54"/>
  <c r="AZ53"/>
  <c r="AY53"/>
  <c r="BB29"/>
  <c r="BA29"/>
  <c r="AL46"/>
  <c r="AL21"/>
  <c r="R24"/>
  <c r="Q24"/>
  <c r="AK24"/>
  <c r="T24" s="1"/>
  <c r="AJ46"/>
  <c r="AJ50"/>
  <c r="BX50"/>
  <c r="AL50" s="1"/>
  <c r="BZ50"/>
  <c r="AM50" s="1"/>
  <c r="BT50"/>
  <c r="AK50" s="1"/>
  <c r="AY50"/>
  <c r="AZ50" s="1"/>
  <c r="BE50"/>
  <c r="BF50" s="1"/>
  <c r="AM20"/>
  <c r="T20" s="1"/>
  <c r="BE51"/>
  <c r="BF51"/>
  <c r="AY51"/>
  <c r="AZ51"/>
  <c r="AK46"/>
  <c r="AM46"/>
  <c r="P28"/>
  <c r="Q28"/>
  <c r="BT17"/>
  <c r="AK17" s="1"/>
  <c r="BZ17"/>
  <c r="AM17" s="1"/>
  <c r="BX17"/>
  <c r="AL17" s="1"/>
  <c r="BD17"/>
  <c r="P17" s="1"/>
  <c r="K4" i="5" s="1"/>
  <c r="BR17" i="1"/>
  <c r="AJ17" s="1"/>
  <c r="BJ17"/>
  <c r="BH17"/>
  <c r="Q17" s="1"/>
  <c r="L4" i="5" s="1"/>
  <c r="BN17" i="1"/>
  <c r="R28"/>
  <c r="BB17"/>
  <c r="BA17"/>
  <c r="T125" i="2"/>
  <c r="AG77"/>
  <c r="AI77"/>
  <c r="AK77"/>
  <c r="AM77"/>
  <c r="AF81"/>
  <c r="AH81"/>
  <c r="AJ81"/>
  <c r="AL81"/>
  <c r="AN81"/>
  <c r="AN117"/>
  <c r="AN77"/>
  <c r="AN78"/>
  <c r="AN79" s="1"/>
  <c r="T81"/>
  <c r="T82"/>
  <c r="T83" s="1"/>
  <c r="T77"/>
  <c r="T78"/>
  <c r="T79" s="1"/>
  <c r="S23" i="1"/>
  <c r="S52"/>
  <c r="T52"/>
  <c r="M115"/>
  <c r="S51"/>
  <c r="S47" l="1"/>
  <c r="S49"/>
  <c r="S24"/>
  <c r="T51"/>
  <c r="T47"/>
  <c r="S53"/>
  <c r="T27"/>
  <c r="O19"/>
  <c r="O29"/>
  <c r="R299" i="3"/>
  <c r="S299" s="1"/>
  <c r="U299" s="1"/>
  <c r="U300" s="1"/>
  <c r="Q301" s="1"/>
  <c r="E71" i="1" s="1"/>
  <c r="R306" i="3"/>
  <c r="R17" i="1"/>
  <c r="M4" i="5" s="1"/>
  <c r="S21" i="1"/>
  <c r="T21"/>
  <c r="S27"/>
  <c r="T25"/>
  <c r="T23"/>
  <c r="T18"/>
  <c r="O5" i="5" s="1"/>
  <c r="S20" i="1"/>
  <c r="T22"/>
  <c r="S26"/>
  <c r="T26"/>
  <c r="S22"/>
  <c r="S19"/>
  <c r="N6" i="5" s="1"/>
  <c r="T19" i="1"/>
  <c r="O6" i="5" s="1"/>
  <c r="S18" i="1"/>
  <c r="N5" i="5" s="1"/>
  <c r="S25" i="1"/>
  <c r="BB47"/>
  <c r="BB49"/>
  <c r="T29"/>
  <c r="S29"/>
  <c r="S50"/>
  <c r="BC52"/>
  <c r="BA52"/>
  <c r="BB52"/>
  <c r="BD52"/>
  <c r="BD54"/>
  <c r="BB54"/>
  <c r="BA54"/>
  <c r="BC54"/>
  <c r="BA49"/>
  <c r="O49" s="1"/>
  <c r="BD49"/>
  <c r="BC49"/>
  <c r="BC48"/>
  <c r="BH47"/>
  <c r="BG47"/>
  <c r="BJ47"/>
  <c r="BI47"/>
  <c r="BH48"/>
  <c r="BG48"/>
  <c r="BJ48"/>
  <c r="BI48"/>
  <c r="BJ49"/>
  <c r="BI49"/>
  <c r="BG49"/>
  <c r="BD48"/>
  <c r="BB48"/>
  <c r="BA48"/>
  <c r="BD53"/>
  <c r="BA53"/>
  <c r="BB53"/>
  <c r="BC53"/>
  <c r="BH53"/>
  <c r="BJ53"/>
  <c r="BI53"/>
  <c r="BG53"/>
  <c r="BJ52"/>
  <c r="BI52"/>
  <c r="BG52"/>
  <c r="BH52"/>
  <c r="BD47"/>
  <c r="BA47"/>
  <c r="O47" s="1"/>
  <c r="BC47"/>
  <c r="BH54"/>
  <c r="BJ54"/>
  <c r="BI54"/>
  <c r="BG54"/>
  <c r="BH49"/>
  <c r="BG46"/>
  <c r="BI46"/>
  <c r="BJ46"/>
  <c r="BH46"/>
  <c r="BA46"/>
  <c r="BC46"/>
  <c r="BB46"/>
  <c r="BD46"/>
  <c r="S46"/>
  <c r="N4" i="4" s="1"/>
  <c r="T50" i="1"/>
  <c r="BB50"/>
  <c r="BD50"/>
  <c r="BA50"/>
  <c r="BC50"/>
  <c r="BI50"/>
  <c r="BG50"/>
  <c r="BH50"/>
  <c r="BJ50"/>
  <c r="BJ51"/>
  <c r="BH51"/>
  <c r="BG51"/>
  <c r="BI51"/>
  <c r="BA51"/>
  <c r="BB51"/>
  <c r="BD51"/>
  <c r="BC51"/>
  <c r="T46"/>
  <c r="O4" i="4" s="1"/>
  <c r="T17" i="1"/>
  <c r="O4" i="5" s="1"/>
  <c r="S17" i="1"/>
  <c r="N4" i="5" s="1"/>
  <c r="O17" i="1"/>
  <c r="J4" i="5" s="1"/>
  <c r="R318" i="3" l="1"/>
  <c r="T317" s="1"/>
  <c r="G71" i="1" s="1"/>
  <c r="I73"/>
  <c r="J73" s="1"/>
  <c r="Q312" i="3"/>
  <c r="R312"/>
  <c r="Q310"/>
  <c r="R311"/>
  <c r="R309"/>
  <c r="Q313"/>
  <c r="R310"/>
  <c r="Q308"/>
  <c r="S308" s="1"/>
  <c r="R313"/>
  <c r="Q309"/>
  <c r="Q311"/>
  <c r="O48" i="1"/>
  <c r="R49"/>
  <c r="Q53"/>
  <c r="P53"/>
  <c r="R50"/>
  <c r="R46"/>
  <c r="M4" i="4" s="1"/>
  <c r="P47" i="1"/>
  <c r="R53"/>
  <c r="Q48"/>
  <c r="Q47"/>
  <c r="O52"/>
  <c r="P52"/>
  <c r="Q54"/>
  <c r="Q52"/>
  <c r="O46"/>
  <c r="J4" i="4" s="1"/>
  <c r="Q49" i="1"/>
  <c r="P49"/>
  <c r="O54"/>
  <c r="Q46"/>
  <c r="L4" i="4" s="1"/>
  <c r="P46" i="1"/>
  <c r="K4" i="4" s="1"/>
  <c r="R54" i="1"/>
  <c r="R52"/>
  <c r="O53"/>
  <c r="R48"/>
  <c r="R47"/>
  <c r="P48"/>
  <c r="P54"/>
  <c r="Q50"/>
  <c r="O50"/>
  <c r="P50"/>
  <c r="R51"/>
  <c r="Q51"/>
  <c r="O51"/>
  <c r="P51"/>
  <c r="S312" i="3" l="1"/>
  <c r="S310"/>
  <c r="S309"/>
  <c r="S313"/>
  <c r="S311"/>
  <c r="U310" l="1"/>
  <c r="F71" i="1" s="1"/>
  <c r="K67" l="1"/>
  <c r="N20" i="3" s="1"/>
  <c r="N25" s="1"/>
  <c r="O25" s="1"/>
  <c r="P25" s="1"/>
  <c r="N28" s="1"/>
  <c r="P28" s="1"/>
  <c r="K72" i="1" s="1"/>
  <c r="G72"/>
</calcChain>
</file>

<file path=xl/comments1.xml><?xml version="1.0" encoding="utf-8"?>
<comments xmlns="http://schemas.openxmlformats.org/spreadsheetml/2006/main">
  <authors>
    <author>Astra</author>
  </authors>
  <commentList>
    <comment ref="O13" authorId="0">
      <text>
        <r>
          <rPr>
            <sz val="9"/>
            <color indexed="81"/>
            <rFont val="Tahoma"/>
            <family val="2"/>
            <charset val="161"/>
          </rPr>
          <t xml:space="preserve">
Επιλέξτε από τις λίστες των αντίστοιχων κελιών (αριστερά) τα χαρακτηριστικά της αδιαφανούς επιφάνειας ανάλογα με την περίπτωση και πληκτρολογήστε τον συντελεστή θερμοπερατότητας στην στήλη Uτ (τοιχοδομές ή ενιαίος συντελεστής) ή Ub (οπλισμένο σκυρόδεμα). Ισχύει για τυπικές τιμές προ ΚΘΚ ή για μέγιστες τιμές από ΚΘΚ ή ΚΕΝΑΚ.
Εάν υπάρχει εγκεκριμένη μελέτη σύμφωνα με τον ΚΘΚ ή τον ΚΕΝΑΚ και δεν τίθεται σε αμφιβολία η εφαρμογή της, τότε πληκτρολογούμε τους συντελεστές θερμοπερατοτητας της μελέτης για το κάθε στοιχείο (σε W/m2K).
</t>
        </r>
      </text>
    </comment>
    <comment ref="H15" authorId="0">
      <text>
        <r>
          <rPr>
            <b/>
            <sz val="8"/>
            <color indexed="81"/>
            <rFont val="Tahoma"/>
            <family val="2"/>
            <charset val="161"/>
          </rPr>
          <t xml:space="preserve">
</t>
        </r>
        <r>
          <rPr>
            <sz val="8"/>
            <color indexed="81"/>
            <rFont val="Tahoma"/>
            <family val="2"/>
            <charset val="161"/>
          </rPr>
          <t>Μετά το 1999, θα πρέπει να υπολογιστεί αναλυτικά από τις κατόψεις της αρχιτεκτονικής μελέτης ή την αποτύπωση.</t>
        </r>
        <r>
          <rPr>
            <b/>
            <sz val="8"/>
            <color indexed="81"/>
            <rFont val="Tahoma"/>
            <family val="2"/>
            <charset val="161"/>
          </rPr>
          <t xml:space="preserve">
Έτος έκδοσης                           Αριθμός ορόφων
</t>
        </r>
        <r>
          <rPr>
            <b/>
            <u/>
            <sz val="8"/>
            <color indexed="81"/>
            <rFont val="Tahoma"/>
            <family val="2"/>
            <charset val="161"/>
          </rPr>
          <t>οικοδομικής άδειας      εως 2          2&lt;οροφοι&lt;5</t>
        </r>
        <r>
          <rPr>
            <u/>
            <sz val="8"/>
            <color indexed="81"/>
            <rFont val="Tahoma"/>
            <family val="2"/>
            <charset val="161"/>
          </rPr>
          <t xml:space="preserve">   </t>
        </r>
        <r>
          <rPr>
            <b/>
            <u/>
            <sz val="8"/>
            <color indexed="81"/>
            <rFont val="Tahoma"/>
            <family val="2"/>
            <charset val="161"/>
          </rPr>
          <t xml:space="preserve">      &gt;=5   </t>
        </r>
        <r>
          <rPr>
            <u/>
            <sz val="8"/>
            <color indexed="81"/>
            <rFont val="Tahoma"/>
            <family val="2"/>
            <charset val="161"/>
          </rPr>
          <t xml:space="preserve">  </t>
        </r>
        <r>
          <rPr>
            <sz val="8"/>
            <color indexed="81"/>
            <rFont val="Tahoma"/>
            <family val="2"/>
            <charset val="161"/>
          </rPr>
          <t xml:space="preserve">
Προ του 1980                  15%                  20%                  23%
</t>
        </r>
        <r>
          <rPr>
            <u/>
            <sz val="8"/>
            <color indexed="81"/>
            <rFont val="Tahoma"/>
            <family val="2"/>
            <charset val="161"/>
          </rPr>
          <t xml:space="preserve">                                                                                                  </t>
        </r>
        <r>
          <rPr>
            <sz val="8"/>
            <color indexed="81"/>
            <rFont val="Tahoma"/>
            <family val="2"/>
            <charset val="161"/>
          </rPr>
          <t xml:space="preserve">
1980 έως 1999                 18%                  23%                  28%
</t>
        </r>
        <r>
          <rPr>
            <u/>
            <sz val="8"/>
            <color indexed="81"/>
            <rFont val="Tahoma"/>
            <family val="2"/>
            <charset val="161"/>
          </rPr>
          <t xml:space="preserve">                                                                                                  
</t>
        </r>
        <r>
          <rPr>
            <sz val="8"/>
            <color indexed="81"/>
            <rFont val="Tahoma"/>
            <family val="2"/>
            <charset val="161"/>
          </rPr>
          <t xml:space="preserve">                                                                              </t>
        </r>
        <r>
          <rPr>
            <i/>
            <sz val="7"/>
            <color indexed="81"/>
            <rFont val="Tahoma"/>
            <family val="2"/>
            <charset val="161"/>
          </rPr>
          <t xml:space="preserve">πιν.3.1 σελ.52
</t>
        </r>
        <r>
          <rPr>
            <b/>
            <sz val="7"/>
            <color indexed="81"/>
            <rFont val="Tahoma"/>
            <family val="2"/>
            <charset val="161"/>
          </rPr>
          <t xml:space="preserve">ΠΡΟΣΟΧΗ: </t>
        </r>
        <r>
          <rPr>
            <sz val="7"/>
            <color indexed="81"/>
            <rFont val="Tahoma"/>
            <family val="2"/>
            <charset val="161"/>
          </rPr>
          <t>το ποσοστό του οπλισμένου σκυροδέματος αφορά σε όλο το εμβαδόν της επιφάνειας (μαζί με τα ανοίγματα εάν υπάρχουν).</t>
        </r>
        <r>
          <rPr>
            <u/>
            <sz val="8"/>
            <color indexed="81"/>
            <rFont val="Tahoma"/>
            <family val="2"/>
            <charset val="161"/>
          </rPr>
          <t xml:space="preserve">
</t>
        </r>
        <r>
          <rPr>
            <sz val="8"/>
            <color indexed="81"/>
            <rFont val="Tahoma"/>
            <family val="2"/>
            <charset val="161"/>
          </rPr>
          <t>Εάν έχω</t>
        </r>
        <r>
          <rPr>
            <b/>
            <sz val="8"/>
            <color indexed="81"/>
            <rFont val="Tahoma"/>
            <family val="2"/>
            <charset val="161"/>
          </rPr>
          <t xml:space="preserve"> μόνο ένα υλικό</t>
        </r>
        <r>
          <rPr>
            <sz val="8"/>
            <color indexed="81"/>
            <rFont val="Tahoma"/>
            <family val="2"/>
            <charset val="161"/>
          </rPr>
          <t xml:space="preserve"> πχ μπετόν ή ξύλινη πόρτα εισόδου, τότε δεν συμπληρώνω το ποσοστό και βάζω τον U στην στήλη Uτ.</t>
        </r>
      </text>
    </comment>
    <comment ref="Y15" authorId="0">
      <text>
        <r>
          <rPr>
            <sz val="8"/>
            <color indexed="81"/>
            <rFont val="Tahoma"/>
            <family val="2"/>
            <charset val="161"/>
          </rPr>
          <t xml:space="preserve">
Εάν υπάρχει τέντα μπροστά από κάποια επιφάνεια, τότε εισάγουμε το καθαρό ελεύθερο ύψος </t>
        </r>
        <r>
          <rPr>
            <b/>
            <sz val="8"/>
            <color indexed="81"/>
            <rFont val="Tahoma"/>
            <family val="2"/>
            <charset val="161"/>
          </rPr>
          <t>H2</t>
        </r>
        <r>
          <rPr>
            <sz val="8"/>
            <color indexed="81"/>
            <rFont val="Tahoma"/>
            <family val="2"/>
            <charset val="161"/>
          </rPr>
          <t xml:space="preserve"> όταν η τέντα είναι κατεβασμένη, την κάθετη απόσταση </t>
        </r>
        <r>
          <rPr>
            <b/>
            <sz val="8"/>
            <color indexed="81"/>
            <rFont val="Tahoma"/>
            <family val="2"/>
            <charset val="161"/>
          </rPr>
          <t>L2</t>
        </r>
        <r>
          <rPr>
            <sz val="8"/>
            <color indexed="81"/>
            <rFont val="Tahoma"/>
            <family val="2"/>
            <charset val="161"/>
          </rPr>
          <t xml:space="preserve"> μέχρι την επιφάνεια και το ημιση του καθαρου υψους </t>
        </r>
        <r>
          <rPr>
            <b/>
            <sz val="8"/>
            <color indexed="81"/>
            <rFont val="Tahoma"/>
            <family val="2"/>
            <charset val="161"/>
          </rPr>
          <t>Ηκαθ/2</t>
        </r>
        <r>
          <rPr>
            <sz val="8"/>
            <color indexed="81"/>
            <rFont val="Tahoma"/>
            <family val="2"/>
            <charset val="161"/>
          </rPr>
          <t xml:space="preserve"> στην στηλη του Fov (εάν δεν έχει εισαχθεί ήδη λόγο ύπαρξης και άνω προβόλου), έτσι ώστε να υπολογιστεί ο συντελεστής Fovc με αυτή την γωνία. Εάν η γωνία προκύψει μεγαλύτερη από 90ο, τότε λαμβάνετε αυτόματα ο μικρότερος συντελεστής σκίασης.</t>
        </r>
      </text>
    </comment>
    <comment ref="F16" authorId="0">
      <text>
        <r>
          <rPr>
            <sz val="9"/>
            <color indexed="81"/>
            <rFont val="Tahoma"/>
            <family val="2"/>
            <charset val="161"/>
          </rPr>
          <t xml:space="preserve">
Εισαγωγή του αθροίσματος των εμβαδών όλων των διαφανών επιφανειών του στοιχείου.</t>
        </r>
      </text>
    </comment>
    <comment ref="I16" authorId="0">
      <text>
        <r>
          <rPr>
            <sz val="8"/>
            <color indexed="81"/>
            <rFont val="Tahoma"/>
            <family val="2"/>
            <charset val="161"/>
          </rPr>
          <t xml:space="preserve">
Εάν η επιφάνεια </t>
        </r>
        <r>
          <rPr>
            <b/>
            <sz val="8"/>
            <color indexed="81"/>
            <rFont val="Tahoma"/>
            <family val="2"/>
            <charset val="161"/>
          </rPr>
          <t>δεν</t>
        </r>
        <r>
          <rPr>
            <sz val="8"/>
            <color indexed="81"/>
            <rFont val="Tahoma"/>
            <family val="2"/>
            <charset val="161"/>
          </rPr>
          <t xml:space="preserve"> αποτελείται από δυο υλικά (πχ πόρτα εισόδου ή μόνο οπτοπλινθοδομή χωρίς μπετόν) ή γνωρίζουμε τον συντελεστή θερμοπερατοτητας της συνολικής επιφάνειας (πχ Umax κατά ΚΘΚ) τότε εισάγουμε στο</t>
        </r>
        <r>
          <rPr>
            <b/>
            <sz val="8"/>
            <color indexed="81"/>
            <rFont val="Tahoma"/>
            <family val="2"/>
            <charset val="161"/>
          </rPr>
          <t xml:space="preserve"> Uτ</t>
        </r>
        <r>
          <rPr>
            <sz val="8"/>
            <color indexed="81"/>
            <rFont val="Tahoma"/>
            <family val="2"/>
            <charset val="161"/>
          </rPr>
          <t xml:space="preserve"> τον συντελεστή θερμοπερατότητας της και αφήνουμε </t>
        </r>
        <r>
          <rPr>
            <b/>
            <sz val="8"/>
            <color indexed="81"/>
            <rFont val="Tahoma"/>
            <family val="2"/>
            <charset val="161"/>
          </rPr>
          <t>κενό</t>
        </r>
        <r>
          <rPr>
            <sz val="8"/>
            <color indexed="81"/>
            <rFont val="Tahoma"/>
            <family val="2"/>
            <charset val="161"/>
          </rPr>
          <t xml:space="preserve"> το %betton και το Ub. 
Η τιμή θα αντιγράφει αυτόματα στην στήλη U της διαφανούς επιφάνειας και εάν έχουμε δώσει αρνητικό μήκος και κτιριακή μονάδα, θα μειωθεί αυτόματα κατά 50%.
</t>
        </r>
      </text>
    </comment>
    <comment ref="L16" authorId="0">
      <text>
        <r>
          <rPr>
            <sz val="8"/>
            <color indexed="81"/>
            <rFont val="Tahoma"/>
            <family val="2"/>
            <charset val="161"/>
          </rPr>
          <t xml:space="preserve">
Για </t>
        </r>
        <r>
          <rPr>
            <b/>
            <sz val="8"/>
            <color indexed="81"/>
            <rFont val="Tahoma"/>
            <family val="2"/>
            <charset val="161"/>
          </rPr>
          <t>εξωτερικά στοιχεία</t>
        </r>
        <r>
          <rPr>
            <sz val="8"/>
            <color indexed="81"/>
            <rFont val="Tahoma"/>
            <family val="2"/>
            <charset val="161"/>
          </rPr>
          <t xml:space="preserve"> που θεωρείται ότι βρίσκονται σε </t>
        </r>
        <r>
          <rPr>
            <b/>
            <sz val="8"/>
            <color indexed="81"/>
            <rFont val="Tahoma"/>
            <family val="2"/>
            <charset val="161"/>
          </rPr>
          <t>πλήρης σκιά</t>
        </r>
        <r>
          <rPr>
            <sz val="8"/>
            <color indexed="81"/>
            <rFont val="Tahoma"/>
            <family val="2"/>
            <charset val="161"/>
          </rPr>
          <t xml:space="preserve"> όπως πχ εντος φωταγωγού, συμπληρώστε την τιμή</t>
        </r>
        <r>
          <rPr>
            <b/>
            <sz val="8"/>
            <color indexed="81"/>
            <rFont val="Tahoma"/>
            <family val="2"/>
            <charset val="161"/>
          </rPr>
          <t xml:space="preserve"> -1</t>
        </r>
        <r>
          <rPr>
            <sz val="8"/>
            <color indexed="81"/>
            <rFont val="Tahoma"/>
            <family val="2"/>
            <charset val="161"/>
          </rPr>
          <t xml:space="preserve"> στον προσανατολισμό για να  μηδενιστούν οι συντελεστές σκίασης (στο λογισμικό ΤΕΕ αφήνουμε κενό το αντίστοιχο κελί).
Για </t>
        </r>
        <r>
          <rPr>
            <b/>
            <sz val="8"/>
            <color indexed="81"/>
            <rFont val="Tahoma"/>
            <family val="2"/>
            <charset val="161"/>
          </rPr>
          <t>οριζόντια εξωτερικά στοιχεία</t>
        </r>
        <r>
          <rPr>
            <sz val="8"/>
            <color indexed="81"/>
            <rFont val="Tahoma"/>
            <family val="2"/>
            <charset val="161"/>
          </rPr>
          <t xml:space="preserve"> όπως πχ το δώμα, αφήστε </t>
        </r>
        <r>
          <rPr>
            <b/>
            <sz val="8"/>
            <color indexed="81"/>
            <rFont val="Tahoma"/>
            <family val="2"/>
            <charset val="161"/>
          </rPr>
          <t>κενό</t>
        </r>
        <r>
          <rPr>
            <sz val="8"/>
            <color indexed="81"/>
            <rFont val="Tahoma"/>
            <family val="2"/>
            <charset val="161"/>
          </rPr>
          <t xml:space="preserve"> τον προσανατολισμό και εάν δεν σκιάζονται, οι συντελεστές σκίασης παραμένουν </t>
        </r>
        <r>
          <rPr>
            <b/>
            <sz val="8"/>
            <color indexed="81"/>
            <rFont val="Tahoma"/>
            <family val="2"/>
            <charset val="161"/>
          </rPr>
          <t xml:space="preserve">1,00 (καθόλου σκιά) </t>
        </r>
        <r>
          <rPr>
            <sz val="8"/>
            <color indexed="81"/>
            <rFont val="Tahoma"/>
            <family val="2"/>
            <charset val="161"/>
          </rPr>
          <t xml:space="preserve">ή εάν σκιάζονται μερικώς, συμπληρώστε τους συντελεστές σκίασης </t>
        </r>
        <r>
          <rPr>
            <b/>
            <sz val="8"/>
            <color indexed="81"/>
            <rFont val="Tahoma"/>
            <family val="2"/>
            <charset val="161"/>
          </rPr>
          <t>κατ' εκτίμηση</t>
        </r>
        <r>
          <rPr>
            <sz val="8"/>
            <color indexed="81"/>
            <rFont val="Tahoma"/>
            <family val="2"/>
            <charset val="161"/>
          </rPr>
          <t xml:space="preserve"> και σύμφωνα με τα οριζόμενα στην ΤΟΤΕΕ.
Για </t>
        </r>
        <r>
          <rPr>
            <b/>
            <sz val="8"/>
            <color indexed="81"/>
            <rFont val="Tahoma"/>
            <family val="2"/>
            <charset val="161"/>
          </rPr>
          <t xml:space="preserve">εσωτερικά στοιχεία </t>
        </r>
        <r>
          <rPr>
            <sz val="8"/>
            <color indexed="81"/>
            <rFont val="Tahoma"/>
            <family val="2"/>
            <charset val="161"/>
          </rPr>
          <t xml:space="preserve">που βρίσκονται σε πλήρη σκιά όπως πχ τοίχος σε επαφή με το εσωτερικό κλιμακοστάσιο ή διαχωριστική επιφάνεια σε περίπτωση που επιθεωρείτε όλο το κτίριο, αφήνουμε </t>
        </r>
        <r>
          <rPr>
            <b/>
            <sz val="8"/>
            <color indexed="81"/>
            <rFont val="Tahoma"/>
            <family val="2"/>
            <charset val="161"/>
          </rPr>
          <t>κενό</t>
        </r>
        <r>
          <rPr>
            <sz val="8"/>
            <color indexed="81"/>
            <rFont val="Tahoma"/>
            <family val="2"/>
            <charset val="161"/>
          </rPr>
          <t xml:space="preserve"> τον προσανατολισμός και συμπληρώνουμε το </t>
        </r>
        <r>
          <rPr>
            <b/>
            <sz val="8"/>
            <color indexed="81"/>
            <rFont val="Tahoma"/>
            <family val="2"/>
            <charset val="161"/>
          </rPr>
          <t>μήκος του στοιχείου με αρνητικό πρόσημο</t>
        </r>
        <r>
          <rPr>
            <sz val="8"/>
            <color indexed="81"/>
            <rFont val="Tahoma"/>
            <family val="2"/>
            <charset val="161"/>
          </rPr>
          <t xml:space="preserve"> έτσι ώστε να μηδενιστούν οι συντελεστές σκίασης.</t>
        </r>
      </text>
    </comment>
    <comment ref="V16" authorId="0">
      <text>
        <r>
          <rPr>
            <sz val="9"/>
            <color indexed="81"/>
            <rFont val="Tahoma"/>
            <family val="2"/>
            <charset val="161"/>
          </rPr>
          <t xml:space="preserve">
Υψομετρική διαφορά από το κέντρο της επιφάνειας εως το μέγιστο ύψος του απέναντι εμποδίου (βλ. σκαρίφημα).</t>
        </r>
      </text>
    </comment>
    <comment ref="A40" authorId="0">
      <text>
        <r>
          <rPr>
            <b/>
            <sz val="9"/>
            <color indexed="81"/>
            <rFont val="Tahoma"/>
            <family val="2"/>
            <charset val="161"/>
          </rPr>
          <t xml:space="preserve">
</t>
        </r>
        <r>
          <rPr>
            <sz val="9"/>
            <color indexed="81"/>
            <rFont val="Tahoma"/>
            <family val="2"/>
            <charset val="161"/>
          </rPr>
          <t xml:space="preserve">Επιλέξτε το είδος κουφώματος και τον τύπο πλαισίου. Αυτόματα συμπληρώνονται οι τιμές διείσδυσης αέρα ανά τ.μ. επιφάνειας για πόρτες και παράθυρα. 
Το εμβαδόν για τις πόρτες και τα παράθυρα ανα είδος, από τα οποία υπάρχει διείσδυση αέρα, συμπληρώνεται αυτόματα μόλις περιγράψουμε τις διαφανείς επιφάνειες στον πίνακα.
Εάν υπάρχει κάποιο κούφωμα ή κουφώματα με διείσδυση αέρα που είναι άλλου είδους και τύπου απο τις υπάρχουσες επιλογές ή γνωρίζουμε την διείσδυση αέρα π.χ. από πιστοποίηση, τότε το συνολικό εμβαδόν τους συμπληρώνεται αυτόματα μόλις περιγράψουμε τις διαφανείς επιφάνειες στον πίνακα, αλλά πρέπει να δώσουμε την τιμή διείσδυσης αέρα ανά τ.μ. επιφάνειας.   </t>
        </r>
      </text>
    </comment>
    <comment ref="Y44" authorId="0">
      <text>
        <r>
          <rPr>
            <sz val="8"/>
            <color indexed="81"/>
            <rFont val="Tahoma"/>
            <family val="2"/>
            <charset val="161"/>
          </rPr>
          <t xml:space="preserve">
Εάν υπάρχει τέντα μπροστά από κάποια επιφάνεια, τότε εισάγουμε το καθαρό ελεύθερο ύψος </t>
        </r>
        <r>
          <rPr>
            <b/>
            <sz val="8"/>
            <color indexed="81"/>
            <rFont val="Tahoma"/>
            <family val="2"/>
            <charset val="161"/>
          </rPr>
          <t>H2</t>
        </r>
        <r>
          <rPr>
            <sz val="8"/>
            <color indexed="81"/>
            <rFont val="Tahoma"/>
            <family val="2"/>
            <charset val="161"/>
          </rPr>
          <t xml:space="preserve"> όταν η τέντα είναι κατεβασμένη και την κάθετη απόσταση </t>
        </r>
        <r>
          <rPr>
            <b/>
            <sz val="8"/>
            <color indexed="81"/>
            <rFont val="Tahoma"/>
            <family val="2"/>
            <charset val="161"/>
          </rPr>
          <t>L+L2</t>
        </r>
        <r>
          <rPr>
            <sz val="8"/>
            <color indexed="81"/>
            <rFont val="Tahoma"/>
            <family val="2"/>
            <charset val="161"/>
          </rPr>
          <t xml:space="preserve"> μέχρι την επιφάνεια</t>
        </r>
        <r>
          <rPr>
            <sz val="8"/>
            <color indexed="81"/>
            <rFont val="Tahoma"/>
            <family val="2"/>
            <charset val="161"/>
          </rPr>
          <t>, έτσι ώστε να υπολογιστεί ο συντελεστής Fovc με αυτή την γωνία. Εάν η γωνία προκύψει μεγαλύτερη από 90ο, τότε λαμβάνετε αυτόματα ο μικρότερος συντελεστής σκίασης.</t>
        </r>
      </text>
    </comment>
    <comment ref="J45" authorId="0">
      <text>
        <r>
          <rPr>
            <sz val="9"/>
            <color indexed="81"/>
            <rFont val="Tahoma"/>
            <family val="2"/>
            <charset val="161"/>
          </rPr>
          <t xml:space="preserve">
</t>
        </r>
        <r>
          <rPr>
            <b/>
            <sz val="9"/>
            <color indexed="81"/>
            <rFont val="Tahoma"/>
            <family val="2"/>
            <charset val="161"/>
          </rPr>
          <t xml:space="preserve">Διείσδυση Αέρα
</t>
        </r>
        <r>
          <rPr>
            <sz val="9"/>
            <color indexed="81"/>
            <rFont val="Tahoma"/>
            <family val="2"/>
            <charset val="161"/>
          </rPr>
          <t>Εάν η επιλογή είναι "</t>
        </r>
        <r>
          <rPr>
            <b/>
            <sz val="9"/>
            <color indexed="81"/>
            <rFont val="Tahoma"/>
            <family val="2"/>
            <charset val="161"/>
          </rPr>
          <t>είδος Α</t>
        </r>
        <r>
          <rPr>
            <sz val="9"/>
            <color indexed="81"/>
            <rFont val="Tahoma"/>
            <family val="2"/>
            <charset val="161"/>
          </rPr>
          <t>" (προεπιλογή) τότε το εμβαδόν της διαφανούς επιφάνειας προστίθεται αυτόματα στο συνολικό εμβαδόν των πορτών εάν η ποδιά είναι 0,00 ή αλλιώς στο συνολικό εμβαδόν των παραθύρων, στην γραμμή του υπολογισμού της διείσδυσης αέρα, στο είδος ανοίγματος Α. 
Εάν η επιλογή είναι "</t>
        </r>
        <r>
          <rPr>
            <b/>
            <sz val="9"/>
            <color indexed="81"/>
            <rFont val="Tahoma"/>
            <family val="2"/>
            <charset val="161"/>
          </rPr>
          <t>είδος Β</t>
        </r>
        <r>
          <rPr>
            <sz val="9"/>
            <color indexed="81"/>
            <rFont val="Tahoma"/>
            <family val="2"/>
            <charset val="161"/>
          </rPr>
          <t>" ή "</t>
        </r>
        <r>
          <rPr>
            <b/>
            <sz val="9"/>
            <color indexed="81"/>
            <rFont val="Tahoma"/>
            <family val="2"/>
            <charset val="161"/>
          </rPr>
          <t>είδος Γ</t>
        </r>
        <r>
          <rPr>
            <sz val="9"/>
            <color indexed="81"/>
            <rFont val="Tahoma"/>
            <family val="2"/>
            <charset val="161"/>
          </rPr>
          <t>" τότε το εμβαδόν της διαφανούς επιφάνειας προστίθεται στο συνολικό εμβαδόν για το άλλο είδος Β ή το άλλο είδος Γ αντίστοιχα (προσοχή, το είδος Β ή Γ θα πρέπει να αφορά μόνο πόρτες ή μόνο παράθυρα διαφορετικού τύπου ανοίγματος από το βασικό είδος Α).
Εάν η επιλογή είναι "</t>
        </r>
        <r>
          <rPr>
            <b/>
            <sz val="9"/>
            <color indexed="81"/>
            <rFont val="Tahoma"/>
            <family val="2"/>
            <charset val="161"/>
          </rPr>
          <t>όχι</t>
        </r>
        <r>
          <rPr>
            <sz val="9"/>
            <color indexed="81"/>
            <rFont val="Tahoma"/>
            <family val="2"/>
            <charset val="161"/>
          </rPr>
          <t xml:space="preserve">", τότε θεωρείται ότι δεν υπάρχει διείσδυση αέρα από την συγκεκριμένη επιφάνεια (πχ μη ανοιγμένο εξωτερικό κούφωμα).
</t>
        </r>
      </text>
    </comment>
    <comment ref="K45" authorId="0">
      <text>
        <r>
          <rPr>
            <sz val="9"/>
            <color indexed="81"/>
            <rFont val="Tahoma"/>
            <family val="2"/>
            <charset val="161"/>
          </rPr>
          <t xml:space="preserve">
Υψομετρική διαφορά από το δάπεδο της ιδιοκτησίας μέχρι το μέγιστο ύψος του απέναντι εμποδίου. 
Για τον υπολογισμό των γωνιών γίνετε αυτόματος υπολογισμός της υψομετρικής διαφοράς του κέντρου του ανοίγματος με το μέγιστο ύψος του απέναντι εμποδίου στην στήλη ΔΗ.</t>
        </r>
      </text>
    </comment>
    <comment ref="L45" authorId="0">
      <text>
        <r>
          <rPr>
            <sz val="9"/>
            <color indexed="81"/>
            <rFont val="Tahoma"/>
            <family val="2"/>
            <charset val="161"/>
          </rPr>
          <t xml:space="preserve">
Καθαρό ύψος ιδιοκτησίας ή ορόφου. 
Για τον υπολογισμό των γωνιών γίνετε αυτόματος υπολογισμός της υψομετρικής διαφοράς του κέντρου του ανοίγματος με το άνω εμπόδιο στην στηλη Η.</t>
        </r>
      </text>
    </comment>
    <comment ref="V45" authorId="0">
      <text>
        <r>
          <rPr>
            <sz val="9"/>
            <color indexed="81"/>
            <rFont val="Tahoma"/>
            <family val="2"/>
            <charset val="161"/>
          </rPr>
          <t xml:space="preserve">
Αυτόματος υπολογισμός βάση των στοιχείων της γραμμής (ΠΡΕΚΙ, ΠΟΔΙΑ, Ηαπεν.). 
</t>
        </r>
        <r>
          <rPr>
            <b/>
            <sz val="9"/>
            <color indexed="81"/>
            <rFont val="Tahoma"/>
            <family val="2"/>
            <charset val="161"/>
          </rPr>
          <t>Hαπεν.:</t>
        </r>
        <r>
          <rPr>
            <sz val="9"/>
            <color indexed="81"/>
            <rFont val="Tahoma"/>
            <family val="2"/>
            <charset val="161"/>
          </rPr>
          <t xml:space="preserve"> υψομετρική διαφορά από το δάπεδο της ιδιοκτησίας μέχρι το μέγιστο ύψος του απέναντι εμποδίου.</t>
        </r>
      </text>
    </comment>
    <comment ref="X45" authorId="0">
      <text>
        <r>
          <rPr>
            <sz val="9"/>
            <color indexed="81"/>
            <rFont val="Tahoma"/>
            <family val="2"/>
            <charset val="161"/>
          </rPr>
          <t xml:space="preserve">
Αυτόματος υπολογισμός βάση των στοιχείων της γραμμής (ΠΡΕΚΙ, ΠΟΔΙΑ, Ηκαθ).</t>
        </r>
      </text>
    </comment>
    <comment ref="H65" authorId="0">
      <text>
        <r>
          <rPr>
            <sz val="8"/>
            <color indexed="81"/>
            <rFont val="Tahoma"/>
            <family val="2"/>
            <charset val="161"/>
          </rPr>
          <t xml:space="preserve">
Αυτόματος υπολογισμός για απλές περιπτώσεις, στο πίνακα 4.3 παρακάτω. Η τιμή
αντιγράφεται αυτόματα και προστίθεται στην απαιτούμενη ισχύς του λέβητα.
Το  ημερήσιο  απαιτούμενο  θερμικό  φορτίο  Qd σε (kWh/day) για Ζ.Ν.Χ. δίνεται από την ακόλουθη σχέση:
                             </t>
        </r>
        <r>
          <rPr>
            <b/>
            <sz val="8"/>
            <color indexed="81"/>
            <rFont val="Tahoma"/>
            <family val="2"/>
            <charset val="161"/>
          </rPr>
          <t>Qd = Vd*(c/3600)*ρ*ΔΤ</t>
        </r>
        <r>
          <rPr>
            <sz val="8"/>
            <color indexed="81"/>
            <rFont val="Tahoma"/>
            <family val="2"/>
            <charset val="161"/>
          </rPr>
          <t xml:space="preserve">
όπου:  Vd [lt/ημέρα]   το ημερήσιο φορτίο,
          ρ   [kg/lt] η πυκνότητα του νερού, ρ = 1 kg/lt,
          c   [kJ/(kg.K)] η ειδική θερμότητα, c = 4,18 kJ/(kg.K),
          ΔΤ [Κ] ή [°C] θερμοκρασιακή διαφορά μεταξύ της χαμηλότερης
               θερμοκρασίας του νερού δικτύου (πίνακας 2.6 σελ.33) και της 
               θερμοκρασίας του Ζ.Ν.Χ. (45 oC - Tθ).
Η θερμική ισχύς Pn, ενός τοπικού θερμαντήρα παραγωγής Ζ.Ν.Χ., συνήθως υπολογίζεται για μέσο χρόνο  απόδοσης  της  συνολικής  ημερήσια  θερμικής  ενέργειας  σε  5  ώρες,  όπως  δίνεται  από  την ακόλουθη σχέση:
                                           </t>
        </r>
        <r>
          <rPr>
            <b/>
            <sz val="8"/>
            <color indexed="81"/>
            <rFont val="Tahoma"/>
            <family val="2"/>
            <charset val="161"/>
          </rPr>
          <t>Pn = Qd / 5</t>
        </r>
      </text>
    </comment>
    <comment ref="C76" authorId="0">
      <text>
        <r>
          <rPr>
            <sz val="9"/>
            <color indexed="81"/>
            <rFont val="Tahoma"/>
            <family val="2"/>
            <charset val="161"/>
          </rPr>
          <t xml:space="preserve">
Εμβαδόν επιφάνειας που θερμαίνεται από κάθε μία αντλία θερμότητας.</t>
        </r>
      </text>
    </comment>
    <comment ref="C84" authorId="0">
      <text>
        <r>
          <rPr>
            <sz val="9"/>
            <color indexed="81"/>
            <rFont val="Tahoma"/>
            <family val="2"/>
            <charset val="161"/>
          </rPr>
          <t xml:space="preserve">
Εμβαδόν επιφάνειας που ψύχεται
από κάθε μία αντλία θερμότητας.</t>
        </r>
      </text>
    </comment>
    <comment ref="J100" authorId="0">
      <text>
        <r>
          <rPr>
            <b/>
            <sz val="9"/>
            <color indexed="81"/>
            <rFont val="Tahoma"/>
            <family val="2"/>
            <charset val="161"/>
          </rPr>
          <t xml:space="preserve">
</t>
        </r>
        <r>
          <rPr>
            <sz val="9"/>
            <color indexed="81"/>
            <rFont val="Tahoma"/>
            <family val="2"/>
            <charset val="161"/>
          </rPr>
          <t>Εάν υπάρχουν φθορές ή διαρροές στην επιφάνεια του συλλέκτη, τότε επιλέγοντας "ναι" γίνετε αυτόματα μείωση του συν.α κατά 20% σύμφωνα με την ΤΟΤΕΕ.</t>
        </r>
      </text>
    </comment>
    <comment ref="K100" authorId="0">
      <text>
        <r>
          <rPr>
            <sz val="9"/>
            <color indexed="81"/>
            <rFont val="Tahoma"/>
            <family val="2"/>
            <charset val="161"/>
          </rPr>
          <t xml:space="preserve">
Αυτόματος υπολογισμός από πινάκες ΤΟΤΕΕ.
Αντί για πόλη, επιτρέπεται η χρήση του </t>
        </r>
        <r>
          <rPr>
            <b/>
            <sz val="9"/>
            <color indexed="81"/>
            <rFont val="Tahoma"/>
            <family val="2"/>
            <charset val="161"/>
          </rPr>
          <t>μέσου όρου</t>
        </r>
        <r>
          <rPr>
            <sz val="9"/>
            <color indexed="81"/>
            <rFont val="Tahoma"/>
            <family val="2"/>
            <charset val="161"/>
          </rPr>
          <t xml:space="preserve"> για οποιαδήποτε περιοχή εγκατάστασης στον Ελλαδικό χώρο. </t>
        </r>
      </text>
    </comment>
    <comment ref="I110" authorId="0">
      <text>
        <r>
          <rPr>
            <sz val="8"/>
            <color indexed="81"/>
            <rFont val="Tahoma"/>
            <family val="2"/>
            <charset val="161"/>
          </rPr>
          <t xml:space="preserve">
Τυπικές τιμές (όχι μέγιστες) φωτεινής δραστικότητας (απόδοσης) λαμπτήρων.
Τύπος λαμπτήρα                                                     Φωτεινή δραστικότητα 
                                                                                       [lm/W]
</t>
        </r>
        <r>
          <rPr>
            <u/>
            <sz val="8"/>
            <color indexed="81"/>
            <rFont val="Tahoma"/>
            <family val="2"/>
            <charset val="161"/>
          </rPr>
          <t xml:space="preserve">Πυράκτωσης                                                                     10 - 18           </t>
        </r>
        <r>
          <rPr>
            <sz val="8"/>
            <color indexed="81"/>
            <rFont val="Tahoma"/>
            <family val="2"/>
            <charset val="161"/>
          </rPr>
          <t xml:space="preserve">
</t>
        </r>
        <r>
          <rPr>
            <u/>
            <sz val="8"/>
            <color indexed="81"/>
            <rFont val="Tahoma"/>
            <family val="2"/>
            <charset val="161"/>
          </rPr>
          <t xml:space="preserve">Αλογόνου                                                                         15 - 25           </t>
        </r>
        <r>
          <rPr>
            <sz val="8"/>
            <color indexed="81"/>
            <rFont val="Tahoma"/>
            <family val="2"/>
            <charset val="161"/>
          </rPr>
          <t xml:space="preserve">
Συμπαγής φθορισμού (συμπεριλαμβανομένου του 
</t>
        </r>
        <r>
          <rPr>
            <u/>
            <sz val="8"/>
            <color indexed="81"/>
            <rFont val="Tahoma"/>
            <family val="2"/>
            <charset val="161"/>
          </rPr>
          <t xml:space="preserve">στραγγαλιστικού πηνίου (ballast))                                       50 - 70           </t>
        </r>
        <r>
          <rPr>
            <sz val="8"/>
            <color indexed="81"/>
            <rFont val="Tahoma"/>
            <family val="2"/>
            <charset val="161"/>
          </rPr>
          <t xml:space="preserve">
Γραμμικός φθορισμού (συμπεριλαμβανομένου του 
</t>
        </r>
        <r>
          <rPr>
            <u/>
            <sz val="8"/>
            <color indexed="81"/>
            <rFont val="Tahoma"/>
            <family val="2"/>
            <charset val="161"/>
          </rPr>
          <t xml:space="preserve">στραγγαλιστικού πηνίου (ballast))                                       60 - 100         </t>
        </r>
        <r>
          <rPr>
            <sz val="8"/>
            <color indexed="81"/>
            <rFont val="Tahoma"/>
            <family val="2"/>
            <charset val="161"/>
          </rPr>
          <t xml:space="preserve">
Αλογονιδίων μετάλλων (συμπεριλαμβανομένου του 
</t>
        </r>
        <r>
          <rPr>
            <u/>
            <sz val="8"/>
            <color indexed="81"/>
            <rFont val="Tahoma"/>
            <family val="2"/>
            <charset val="161"/>
          </rPr>
          <t xml:space="preserve">στραγγαλιστικού πηνίου (ballast))                                       65 - 110         </t>
        </r>
        <r>
          <rPr>
            <sz val="8"/>
            <color indexed="81"/>
            <rFont val="Tahoma"/>
            <family val="2"/>
            <charset val="161"/>
          </rPr>
          <t xml:space="preserve">
Φωτοδίοδοι (LED) (συμπεριλαμβανομένου του οδηγού 
</t>
        </r>
        <r>
          <rPr>
            <u/>
            <sz val="8"/>
            <color indexed="81"/>
            <rFont val="Tahoma"/>
            <family val="2"/>
            <charset val="161"/>
          </rPr>
          <t xml:space="preserve">(driver))                                                                          30 - 60           
</t>
        </r>
        <r>
          <rPr>
            <sz val="8"/>
            <color indexed="81"/>
            <rFont val="Tahoma"/>
            <family val="2"/>
            <charset val="161"/>
          </rPr>
          <t xml:space="preserve">                                                                                      </t>
        </r>
        <r>
          <rPr>
            <i/>
            <sz val="7"/>
            <color indexed="81"/>
            <rFont val="Tahoma"/>
            <family val="2"/>
            <charset val="161"/>
          </rPr>
          <t xml:space="preserve">πιν.5.1 σελ.126
</t>
        </r>
        <r>
          <rPr>
            <sz val="7"/>
            <color indexed="81"/>
            <rFont val="Tahoma"/>
            <family val="2"/>
            <charset val="161"/>
          </rPr>
          <t xml:space="preserve">
Οταν δεν γνωριζουμε την φωτεινη ροη (lm) των εγκατεστημενων λαμπτηρων, μπορουμε να χρησιμοποιησουμε τις τιμες του παραπανω πινακα, αναλογα τον
τυπο του [ φωτεινη ροη (lm) = φωτεινη δραστικοτητα (lm/w) x ισχυ (w) ].</t>
        </r>
      </text>
    </comment>
    <comment ref="K110" authorId="0">
      <text>
        <r>
          <rPr>
            <sz val="9"/>
            <color indexed="81"/>
            <rFont val="Tahoma"/>
            <family val="2"/>
            <charset val="161"/>
          </rPr>
          <t xml:space="preserve">
Αυτόματα υπολογίζεται εάν απαιτείται επιπλέον θεωρητική ισχύς για τον φωτισμό του χώρου λαμβάνοντας υπόψη τα χαρακτηριστικά των εγκατεστημένων λαμπτήρων (ισχύς και φωτισμός).</t>
        </r>
      </text>
    </comment>
  </commentList>
</comments>
</file>

<file path=xl/sharedStrings.xml><?xml version="1.0" encoding="utf-8"?>
<sst xmlns="http://schemas.openxmlformats.org/spreadsheetml/2006/main" count="2885" uniqueCount="860">
  <si>
    <t>ΙΔΙΟΚΤΗΤΗΣ</t>
  </si>
  <si>
    <t xml:space="preserve">ΙΔΙΟΚΤΗΣΙΑ </t>
  </si>
  <si>
    <t>ΔΙΕΥΘΥΝΗΣΗ</t>
  </si>
  <si>
    <t>ΗΜΕΡΟΜΗΝΙΑ</t>
  </si>
  <si>
    <t>ΠΕΡΙΓΡΑΦΗ</t>
  </si>
  <si>
    <t>ΜΗΚΟΣ</t>
  </si>
  <si>
    <t>ΥΨΟΣ</t>
  </si>
  <si>
    <t>ΕΜΒ.</t>
  </si>
  <si>
    <t>Fhor</t>
  </si>
  <si>
    <r>
      <t>γ</t>
    </r>
    <r>
      <rPr>
        <b/>
        <sz val="8"/>
        <color theme="5" tint="-0.499984740745262"/>
        <rFont val="Calibri"/>
        <family val="2"/>
        <charset val="161"/>
        <scheme val="minor"/>
      </rPr>
      <t>(deg)</t>
    </r>
  </si>
  <si>
    <r>
      <t>β</t>
    </r>
    <r>
      <rPr>
        <b/>
        <sz val="8"/>
        <color theme="5" tint="-0.499984740745262"/>
        <rFont val="Calibri"/>
        <family val="2"/>
        <charset val="161"/>
        <scheme val="minor"/>
      </rPr>
      <t>(deg)</t>
    </r>
  </si>
  <si>
    <t>σελ.72</t>
  </si>
  <si>
    <t>Η</t>
  </si>
  <si>
    <t>Fovh</t>
  </si>
  <si>
    <t>π. 3.18</t>
  </si>
  <si>
    <t>πιν.3.19</t>
  </si>
  <si>
    <t>σελ.74</t>
  </si>
  <si>
    <t>π. 3.20</t>
  </si>
  <si>
    <t>σελ.76</t>
  </si>
  <si>
    <t>ΑΝΟΙΓ.</t>
  </si>
  <si>
    <t>Ffin αρ</t>
  </si>
  <si>
    <t>Ffin δεξ</t>
  </si>
  <si>
    <t>ΕΜΒκ</t>
  </si>
  <si>
    <t>ΠΡΕΚΙ</t>
  </si>
  <si>
    <t>ΠΟΔΙΑ</t>
  </si>
  <si>
    <t>ΕΜΒ</t>
  </si>
  <si>
    <t>Ηαπεν.</t>
  </si>
  <si>
    <t>L+L1</t>
  </si>
  <si>
    <t>Ηκαθ</t>
  </si>
  <si>
    <t>Fov</t>
  </si>
  <si>
    <t>τεντα</t>
  </si>
  <si>
    <t>Γωνία α</t>
  </si>
  <si>
    <t>Περίοδος</t>
  </si>
  <si>
    <t>Προσανατολισμός επιφάνειας</t>
  </si>
  <si>
    <t>θέρμανσης</t>
  </si>
  <si>
    <t>1,00</t>
  </si>
  <si>
    <t>ψύξης</t>
  </si>
  <si>
    <t>0,98</t>
  </si>
  <si>
    <t>0,97</t>
  </si>
  <si>
    <t>0,96</t>
  </si>
  <si>
    <t>0,95</t>
  </si>
  <si>
    <t>0,93</t>
  </si>
  <si>
    <t>0,94</t>
  </si>
  <si>
    <t>0,92</t>
  </si>
  <si>
    <t>0,91</t>
  </si>
  <si>
    <t>0,89</t>
  </si>
  <si>
    <t>0,86</t>
  </si>
  <si>
    <t>0,90</t>
  </si>
  <si>
    <t>0,88</t>
  </si>
  <si>
    <t>0,84</t>
  </si>
  <si>
    <t>0,80</t>
  </si>
  <si>
    <t>0,87</t>
  </si>
  <si>
    <t>0,73</t>
  </si>
  <si>
    <t>0,72</t>
  </si>
  <si>
    <t>0,83</t>
  </si>
  <si>
    <t>0,82</t>
  </si>
  <si>
    <t>0,61</t>
  </si>
  <si>
    <t>0,62</t>
  </si>
  <si>
    <t>0,65</t>
  </si>
  <si>
    <t>0,85</t>
  </si>
  <si>
    <t>0,81</t>
  </si>
  <si>
    <t>0,53</t>
  </si>
  <si>
    <t>0,54</t>
  </si>
  <si>
    <t>0,99</t>
  </si>
  <si>
    <t>0,77</t>
  </si>
  <si>
    <t>0,44</t>
  </si>
  <si>
    <t>0,47</t>
  </si>
  <si>
    <t>0,57</t>
  </si>
  <si>
    <t>0,40</t>
  </si>
  <si>
    <t>0,55</t>
  </si>
  <si>
    <t>0,78</t>
  </si>
  <si>
    <t>0,68</t>
  </si>
  <si>
    <t>0,70</t>
  </si>
  <si>
    <t>0,36</t>
  </si>
  <si>
    <t>0,74</t>
  </si>
  <si>
    <t>0,63</t>
  </si>
  <si>
    <t>0,67</t>
  </si>
  <si>
    <t>0,34</t>
  </si>
  <si>
    <t>0,38</t>
  </si>
  <si>
    <t>0,52</t>
  </si>
  <si>
    <t>0,60</t>
  </si>
  <si>
    <t>0,32</t>
  </si>
  <si>
    <t>0,37</t>
  </si>
  <si>
    <t>0,51</t>
  </si>
  <si>
    <t>0,50</t>
  </si>
  <si>
    <t>0,79</t>
  </si>
  <si>
    <t>0,31</t>
  </si>
  <si>
    <t>0,58</t>
  </si>
  <si>
    <t>Πίνακας 3.18. Συντελεστής σκίασης από ορίζοντα Fhor.h</t>
  </si>
  <si>
    <t>Πίνακας 3.18. Συντελεστής σκίασης από ορίζοντα Fhor.c</t>
  </si>
  <si>
    <t>Γωνία β</t>
  </si>
  <si>
    <t>0,76</t>
  </si>
  <si>
    <t>0,75</t>
  </si>
  <si>
    <t>0,56</t>
  </si>
  <si>
    <t>0,69</t>
  </si>
  <si>
    <t>0,66</t>
  </si>
  <si>
    <t>0,64</t>
  </si>
  <si>
    <t>0,46</t>
  </si>
  <si>
    <t>0,59</t>
  </si>
  <si>
    <t>0,42</t>
  </si>
  <si>
    <t>0,48</t>
  </si>
  <si>
    <t>0,39</t>
  </si>
  <si>
    <t>0,43</t>
  </si>
  <si>
    <t>0,45</t>
  </si>
  <si>
    <t>0,49</t>
  </si>
  <si>
    <t>0,33</t>
  </si>
  <si>
    <t>0,17</t>
  </si>
  <si>
    <t>0,21</t>
  </si>
  <si>
    <t>0,29</t>
  </si>
  <si>
    <t>0,28</t>
  </si>
  <si>
    <t>0,26</t>
  </si>
  <si>
    <t>0,27</t>
  </si>
  <si>
    <t>0,41</t>
  </si>
  <si>
    <t>0,10</t>
  </si>
  <si>
    <t>0,12</t>
  </si>
  <si>
    <t>0,24</t>
  </si>
  <si>
    <t>0,19</t>
  </si>
  <si>
    <t>0,18</t>
  </si>
  <si>
    <t>0,22</t>
  </si>
  <si>
    <t>0,30</t>
  </si>
  <si>
    <t>Γωνία γ</t>
  </si>
  <si>
    <t>0,71</t>
  </si>
  <si>
    <t>Fhorh</t>
  </si>
  <si>
    <t>Fhorc</t>
  </si>
  <si>
    <t>Fovc</t>
  </si>
  <si>
    <t>Ffinh</t>
  </si>
  <si>
    <t>Ffinc</t>
  </si>
  <si>
    <t>αριστερα</t>
  </si>
  <si>
    <t>δεξια</t>
  </si>
  <si>
    <t>1. ΓΕΝΙΚΑ ΣΤΟΙΧΕΙΑ</t>
  </si>
  <si>
    <r>
      <t>Πίνακας 3.19. Συντελεστής σκίασης από οριζόντιους προβόλους F</t>
    </r>
    <r>
      <rPr>
        <b/>
        <i/>
        <vertAlign val="subscript"/>
        <sz val="10"/>
        <rFont val="Arial"/>
        <family val="2"/>
        <charset val="161"/>
      </rPr>
      <t>ov</t>
    </r>
    <r>
      <rPr>
        <b/>
        <i/>
        <sz val="10"/>
        <rFont val="Arial"/>
        <family val="2"/>
        <charset val="161"/>
      </rPr>
      <t>.h</t>
    </r>
  </si>
  <si>
    <r>
      <t>Πίνακας 3.19. Συντελεστής σκίασης από οριζόντιους προβόλους F</t>
    </r>
    <r>
      <rPr>
        <b/>
        <i/>
        <vertAlign val="subscript"/>
        <sz val="10"/>
        <rFont val="Arial"/>
        <family val="2"/>
        <charset val="161"/>
      </rPr>
      <t>ov</t>
    </r>
    <r>
      <rPr>
        <b/>
        <i/>
        <sz val="10"/>
        <rFont val="Arial"/>
        <family val="2"/>
        <charset val="161"/>
      </rPr>
      <t>.c</t>
    </r>
  </si>
  <si>
    <r>
      <t>Πίνακας 3.20.β</t>
    </r>
    <r>
      <rPr>
        <i/>
        <sz val="10"/>
        <rFont val="Arial"/>
        <family val="2"/>
        <charset val="161"/>
      </rPr>
      <t xml:space="preserve"> Συντελεστής σκίασης από πλευρικές προεξοχές Ffn από την </t>
    </r>
    <r>
      <rPr>
        <b/>
        <i/>
        <sz val="10"/>
        <rFont val="Arial"/>
        <family val="2"/>
        <charset val="161"/>
      </rPr>
      <t>δεξιά</t>
    </r>
    <r>
      <rPr>
        <i/>
        <sz val="10"/>
        <rFont val="Arial"/>
        <family val="2"/>
        <charset val="161"/>
      </rPr>
      <t xml:space="preserve"> πλευρά.</t>
    </r>
  </si>
  <si>
    <r>
      <t>Πίνακας 3.20.α</t>
    </r>
    <r>
      <rPr>
        <i/>
        <sz val="10"/>
        <rFont val="Arial"/>
        <family val="2"/>
        <charset val="161"/>
      </rPr>
      <t xml:space="preserve"> Συντελεστής σκίασης από πλευρικές προεξοχές Ffn από την </t>
    </r>
    <r>
      <rPr>
        <b/>
        <i/>
        <sz val="10"/>
        <rFont val="Arial"/>
        <family val="2"/>
        <charset val="161"/>
      </rPr>
      <t>αριστερή</t>
    </r>
    <r>
      <rPr>
        <i/>
        <sz val="10"/>
        <rFont val="Arial"/>
        <family val="2"/>
        <charset val="161"/>
      </rPr>
      <t xml:space="preserve"> πλευρά.</t>
    </r>
  </si>
  <si>
    <t>4. ΣΥΣΤΗΜΑ ΘΕΡΜΑΝΣΗΣ</t>
  </si>
  <si>
    <t>Α' κλιματική ζώνη</t>
  </si>
  <si>
    <t>Β' κλιματική ζώνη</t>
  </si>
  <si>
    <t>Γ' κλιματική ζώνη</t>
  </si>
  <si>
    <t>Δ' κλιματική ζώνη</t>
  </si>
  <si>
    <t>Συντ. Θερμ. Um (W/m2k)</t>
  </si>
  <si>
    <t>Επιλογη κλιμ. Ζωνης (ΔΤ oC)</t>
  </si>
  <si>
    <t>πριν την εφαρμογη ΚΘΚ (προ 1980)</t>
  </si>
  <si>
    <t>μετα την εφαρμογη ΚΘΚ - Α κλιμ. Ζωνη</t>
  </si>
  <si>
    <t>μετα την εφαρμογη ΚΘΚ - Β κλιμ. Ζωνη</t>
  </si>
  <si>
    <t>μετα την εφαρμογη ΚΘΚ - Γ κλιμ. Ζωνη</t>
  </si>
  <si>
    <t>συμφωνα με την μελετη Κ.Εν.Α.Κ.</t>
  </si>
  <si>
    <t>τιμη</t>
  </si>
  <si>
    <t>ΥΠΟΛΟΓΙΣΜΟΣ ΑΠΑΙΤ. ΙΣΧΥΣ Pgen</t>
  </si>
  <si>
    <t>Pm/Pgen</t>
  </si>
  <si>
    <t>ng1</t>
  </si>
  <si>
    <t>ng2</t>
  </si>
  <si>
    <t>Καλή μόνωση</t>
  </si>
  <si>
    <t>κακή μόνωση</t>
  </si>
  <si>
    <t>λεβητας με:</t>
  </si>
  <si>
    <r>
      <t xml:space="preserve">ΠΡΑΓΜ. ΙΣΧΥΣ Pm </t>
    </r>
    <r>
      <rPr>
        <sz val="8"/>
        <color theme="5" tint="-0.499984740745262"/>
        <rFont val="Calibri"/>
        <family val="2"/>
        <charset val="161"/>
        <scheme val="minor"/>
      </rPr>
      <t>KW</t>
    </r>
    <r>
      <rPr>
        <sz val="10"/>
        <color theme="5" tint="-0.499984740745262"/>
        <rFont val="Calibri"/>
        <family val="2"/>
        <charset val="161"/>
        <scheme val="minor"/>
      </rPr>
      <t>:</t>
    </r>
  </si>
  <si>
    <t>ΔΙΚΤΥΟ ΔΙΑΝΟΜΗΣ</t>
  </si>
  <si>
    <t>ΙΣΧΥΣ</t>
  </si>
  <si>
    <t>% κλαδου:</t>
  </si>
  <si>
    <t>διέλευση σε εσ. ή/και 20% σε εξ.</t>
  </si>
  <si>
    <t>διέλευση &gt;20% σε εξ. Χωρους</t>
  </si>
  <si>
    <t>δικτυο με υψηλες θερμ. &gt;60οC</t>
  </si>
  <si>
    <t>δικτυο με χαμηλες θερμ. &lt;60οC</t>
  </si>
  <si>
    <t>μονωση κτιριου αναφορας</t>
  </si>
  <si>
    <t>μονωση ιση με την ακτινα σωληνων</t>
  </si>
  <si>
    <t>ανεπαρκης μονωση</t>
  </si>
  <si>
    <t>χωρις μονωση</t>
  </si>
  <si>
    <t>ισχυς δικτυου διανομης</t>
  </si>
  <si>
    <t>Β.Απ. Δικτύου</t>
  </si>
  <si>
    <t>ΤΙΜΗ ΑΠΌ ΠΙΝΑΚΑ</t>
  </si>
  <si>
    <t>ΒΑΘΜΟΣ ΑΠΟΔ.</t>
  </si>
  <si>
    <t>ΤΕΡΜΑΤΙΚΕΣ ΜΟΝΑΔΕΣ</t>
  </si>
  <si>
    <t>Β.Απ. Τερμ. Μοναδων</t>
  </si>
  <si>
    <t>frad</t>
  </si>
  <si>
    <t>υψος χωρου = ή &gt; 4m</t>
  </si>
  <si>
    <t>υψος χωρου &lt; 4m</t>
  </si>
  <si>
    <t>με ανακυκλοφορια αερα</t>
  </si>
  <si>
    <t>fim</t>
  </si>
  <si>
    <t>με συνεχη λειτουργια</t>
  </si>
  <si>
    <t>με διακοπτομενη λειτουργια</t>
  </si>
  <si>
    <t>fhydr</t>
  </si>
  <si>
    <t>υδραυλικα εξισορροπημενο συστημα</t>
  </si>
  <si>
    <t>συστημα εκτος ισορροπιας</t>
  </si>
  <si>
    <t>nem</t>
  </si>
  <si>
    <t>αμεσης αποδοσης σε εσωτ. Τοιχο</t>
  </si>
  <si>
    <t>αμεσης αποδοσης σε εξωτ. Τοιχο</t>
  </si>
  <si>
    <t>ενδοδαπεδιο συστημα θερμανσης</t>
  </si>
  <si>
    <t>ενδοτοιχιο συστημα θερμανσης</t>
  </si>
  <si>
    <t>συστημα θερμανσης οροφης</t>
  </si>
  <si>
    <t>θερμ. μεσου 90 - 70 οC</t>
  </si>
  <si>
    <t>θερμ. μεσου 70 - 50 οC</t>
  </si>
  <si>
    <t>θερμ. μεσου 50 - 35 οC</t>
  </si>
  <si>
    <t>no</t>
  </si>
  <si>
    <t>ΒΟΗΘΗΤΙΚΕΣ ΜΟΝΑΔΕΣ</t>
  </si>
  <si>
    <t>αριθμ.</t>
  </si>
  <si>
    <t>χιλιοστ</t>
  </si>
  <si>
    <t>διαμερ.</t>
  </si>
  <si>
    <t>ισχυς</t>
  </si>
  <si>
    <t>(w)</t>
  </si>
  <si>
    <t>Kcal =</t>
  </si>
  <si>
    <t>Kw ]</t>
  </si>
  <si>
    <t>θερμ. επιφανεια</t>
  </si>
  <si>
    <t>ποσοστο</t>
  </si>
  <si>
    <t>HEATING INPUT</t>
  </si>
  <si>
    <t>POWER [Kw]</t>
  </si>
  <si>
    <t>HEATING CAPACITY</t>
  </si>
  <si>
    <t>[ Kw ]</t>
  </si>
  <si>
    <t>Β. Αποδοσης</t>
  </si>
  <si>
    <t>C.O.P.</t>
  </si>
  <si>
    <t>5. ΣΥΣΤΗΜΑ ΨΥΞΗΣ</t>
  </si>
  <si>
    <t>COOLING INPUT</t>
  </si>
  <si>
    <t>COOLING CAPACITY</t>
  </si>
  <si>
    <t>E.E.R.</t>
  </si>
  <si>
    <t>6. ΖΕΣΤΟ ΝΕΡΟ ΧΡΗΣΗΣ (ΖΝΧ)</t>
  </si>
  <si>
    <t>7. ΗΛΙΑΚΟΣ ΣΥΛΛΕΚΤΗΣ</t>
  </si>
  <si>
    <t>(Kw)</t>
  </si>
  <si>
    <t>Εξωτ. επιφανεια κτιριου (τ.μ.):</t>
  </si>
  <si>
    <t>[ BTU ]       ή</t>
  </si>
  <si>
    <t>[F=1,00 καθολου σκια &amp; F=0,00 πληρης σκια]</t>
  </si>
  <si>
    <t>Συνολ. επιφαν.</t>
  </si>
  <si>
    <t>Β.Απ.</t>
  </si>
  <si>
    <t>ΔΙΚΤΥΟ</t>
  </si>
  <si>
    <t>ποσ.</t>
  </si>
  <si>
    <t>ΑΠΟΘΗΚΕΥΣΗ</t>
  </si>
  <si>
    <t>ΤΥΠΟΣ</t>
  </si>
  <si>
    <t>Αριθμ.</t>
  </si>
  <si>
    <t>τοπικος ηλεκτ. Θερμαντ.</t>
  </si>
  <si>
    <t>σε εσωτ. χωρους</t>
  </si>
  <si>
    <t>ΖΝΧ</t>
  </si>
  <si>
    <t>θερμ.</t>
  </si>
  <si>
    <t>συν.α</t>
  </si>
  <si>
    <t>συν.β</t>
  </si>
  <si>
    <t>γ(deg)</t>
  </si>
  <si>
    <t>β(deg)</t>
  </si>
  <si>
    <t>F_s</t>
  </si>
  <si>
    <t>ναι</t>
  </si>
  <si>
    <t>όχι</t>
  </si>
  <si>
    <t>-</t>
  </si>
  <si>
    <t>κτηματολ.:</t>
  </si>
  <si>
    <t>Α.Π. ΠΕΑ:</t>
  </si>
  <si>
    <t>Α.Α. ΠΕΑ:</t>
  </si>
  <si>
    <t>μονοκατοικια, πολυκατοικια</t>
  </si>
  <si>
    <t>ξενοδοχειο ετησιας λειτουργιας</t>
  </si>
  <si>
    <t>ξενοδοχειο θερινης λειτουργιας</t>
  </si>
  <si>
    <t>ξενοδοχειο χειμερινης λειτουργιας</t>
  </si>
  <si>
    <t>ξενωνας ετησιας λειτουργιας</t>
  </si>
  <si>
    <t>ξενωνας θερινης λειτουργιας</t>
  </si>
  <si>
    <t>ξενωνας χειμερινης λειτουργιας</t>
  </si>
  <si>
    <t>οικοτροφειο και κοιτωνας</t>
  </si>
  <si>
    <t>υπνοδωματιο ξενοδοχειου, οικοτροφειου, κα</t>
  </si>
  <si>
    <t>κοινοχρηστος χωρος ξενοδοχειου, οικοτροφειου, κα</t>
  </si>
  <si>
    <t>εστιατοριο</t>
  </si>
  <si>
    <t>ζαχαροπλαστειο, καφενειο</t>
  </si>
  <si>
    <t>νυχτερινο κεντρο διασκεδασης, μουσικη σκηνη</t>
  </si>
  <si>
    <t>θεατρο, κινηματογραφος</t>
  </si>
  <si>
    <t>χωρος συναυλιων</t>
  </si>
  <si>
    <t>χωρος εκθεσεων, μουσειο</t>
  </si>
  <si>
    <t>χωρος συνεδριων, αμφιθεατρο, αιθουσα δικαστηριων</t>
  </si>
  <si>
    <t>τραπεζα</t>
  </si>
  <si>
    <t>αιθουσα πολλαπλων χρησεων</t>
  </si>
  <si>
    <t>κλειστο γυμναστηριο, κλειστο κολυμβητηριο</t>
  </si>
  <si>
    <t>διαδρομοι και αλλοι κοινοχρηστοι βοηθητικοι χωροι</t>
  </si>
  <si>
    <t>λουτρο (κοινοχρηστο)</t>
  </si>
  <si>
    <t>νηπιαγωγειο</t>
  </si>
  <si>
    <t>πρωτοβαθμια εκπαιδευση, δευτεροβαθμια εκπαιδευση</t>
  </si>
  <si>
    <t>τριτοβαθμια εκπαιδευση, αιθουσα διδασκαλιας</t>
  </si>
  <si>
    <t>φροντηστηριο, ωδειο</t>
  </si>
  <si>
    <t>νοσοκομειο, κλινικη</t>
  </si>
  <si>
    <t>νοσοκομειο, αιθουσα ασθενων (δωματιο)</t>
  </si>
  <si>
    <t>νοσοκομειο, χειρουργειο (τακτικο)</t>
  </si>
  <si>
    <t>νοσοκομειο, εξωτερικων ιατρειων</t>
  </si>
  <si>
    <t>νοσοκομειο, αιθουσες αναμονης</t>
  </si>
  <si>
    <t>αγροτικο ιατρειο, υγειονομικος σταθμος, κεντρο υγειας, ιατρειο</t>
  </si>
  <si>
    <t>ψυχειατρειο, ιδρυμα ατομων με ειδικες αναγκες</t>
  </si>
  <si>
    <t>ιδρυμα χρονιως πασχοντων, οικος ευγηριας, βρεφοκομεια</t>
  </si>
  <si>
    <t>βρεφικος σταθμος, παιδικος σταθμος</t>
  </si>
  <si>
    <t>κρατητηριο, αναμορφωτηριο, φυλακη</t>
  </si>
  <si>
    <t>αστυνομικη διευθυνση</t>
  </si>
  <si>
    <t>εμπορικο κεντρο, αγορα και υπεραγορα</t>
  </si>
  <si>
    <t>καταστημα, φαρμακειο</t>
  </si>
  <si>
    <t>ινστιτουτο γυμναστικης</t>
  </si>
  <si>
    <t>κουρειο, κομμωτηριο</t>
  </si>
  <si>
    <t>γραφειο</t>
  </si>
  <si>
    <t>βιβλιοθηκη</t>
  </si>
  <si>
    <t>[χρηση κτιριου ή κτιριακης μοναδας]</t>
  </si>
  <si>
    <t>ΕΝΕΡΓΕΙΑΚΗ ΕΠΙΘΕΩΡΗΣΗ ΚΤΙΡΙΟΥ - ΚΤΙΡΙΑΚΗΣ ΜΟΝΑΔΑΣ</t>
  </si>
  <si>
    <t>ΖΝΧ / ετος</t>
  </si>
  <si>
    <t>κμ/κλινη/ετος</t>
  </si>
  <si>
    <t>κμ/τμ/ετος:</t>
  </si>
  <si>
    <t>πιν. 2.5</t>
  </si>
  <si>
    <r>
      <t>U</t>
    </r>
    <r>
      <rPr>
        <sz val="9"/>
        <color theme="1"/>
        <rFont val="Calibri"/>
        <family val="2"/>
        <charset val="161"/>
        <scheme val="minor"/>
      </rPr>
      <t>τ</t>
    </r>
  </si>
  <si>
    <t>αργολιθοδομη</t>
  </si>
  <si>
    <t>επιλογή τύπου</t>
  </si>
  <si>
    <t>[κοιτώντας το κτιριο εξωτερικά]</t>
  </si>
  <si>
    <t>m3/h/m2</t>
  </si>
  <si>
    <t>Νωπος αερας</t>
  </si>
  <si>
    <t>φωτισμος</t>
  </si>
  <si>
    <t>σταθμη φωτισμου [lx]=lm/m2</t>
  </si>
  <si>
    <t>ΒΟΗΘΗΤΙΚΟΙ ΕΝΔΙΑΜΕΣΟΙ ΥΠΟΛΟΓΙΣΜΟΙ</t>
  </si>
  <si>
    <t>ΟΧΙ</t>
  </si>
  <si>
    <t>Εμβ. τμ</t>
  </si>
  <si>
    <t>ΧΡΗΣΗ ΧΩΡΟΥ</t>
  </si>
  <si>
    <t>ΠΡΑΓΜΑΤΙΚΗ</t>
  </si>
  <si>
    <t>ΑΠΑΙΤΟΥΜΕΝΗ</t>
  </si>
  <si>
    <t>ΑΠΑΙΤΟΥΜΕΝΟΣ</t>
  </si>
  <si>
    <t>ΙΣΧΥΣ [Κw]</t>
  </si>
  <si>
    <t>ΕΓΚΑΤΕΣΤΗΜΕΝΗ</t>
  </si>
  <si>
    <t>ΧΩΡΟΥ [ lm ]</t>
  </si>
  <si>
    <t>ΦΩΤΙΣΜΟΣ</t>
  </si>
  <si>
    <t>ΕΠΙΠΛΕΟΝ</t>
  </si>
  <si>
    <t>ΘΕΩΡ. ΙΣΧΥΣ Κw</t>
  </si>
  <si>
    <t>ΧΩΡΟΥ [Κw]</t>
  </si>
  <si>
    <t>ΣΥΝΟΛ. ΙΣΧΥΣ</t>
  </si>
  <si>
    <t>ΣΥΝΟΛΟ ΚΤΙΡΙΟΥ ή ΚΤΙΡΙΑΚΗΣ ΜΟΝΑΔΑΣ</t>
  </si>
  <si>
    <t>%</t>
  </si>
  <si>
    <t>ΠΕΡΙΟΧΗ ΦΦ τμ</t>
  </si>
  <si>
    <t>ΦΩΤΙΣΜΟΣ [ lm ]</t>
  </si>
  <si>
    <r>
      <t xml:space="preserve">   εκτίνεται </t>
    </r>
    <r>
      <rPr>
        <b/>
        <i/>
        <sz val="9"/>
        <color theme="7" tint="-0.499984740745262"/>
        <rFont val="Calibri"/>
        <family val="2"/>
        <charset val="161"/>
        <scheme val="minor"/>
      </rPr>
      <t>1,5 m πέρα από τα όρια</t>
    </r>
    <r>
      <rPr>
        <i/>
        <sz val="9"/>
        <color theme="7" tint="-0.499984740745262"/>
        <rFont val="Calibri"/>
        <family val="2"/>
        <charset val="161"/>
        <scheme val="minor"/>
      </rPr>
      <t xml:space="preserve"> της προβολής του ανοίγματος επί της επιφάνειας εργασίας.</t>
    </r>
  </si>
  <si>
    <r>
      <t xml:space="preserve">E_vent </t>
    </r>
    <r>
      <rPr>
        <sz val="7"/>
        <color theme="1"/>
        <rFont val="Calibri"/>
        <family val="2"/>
        <charset val="161"/>
        <scheme val="minor"/>
      </rPr>
      <t>(kw/m3/s)</t>
    </r>
  </si>
  <si>
    <t>ΙΣΧΥΣ [Kw]</t>
  </si>
  <si>
    <t>ΠΑΡΟΧΗ ΝΩΠΟΥ ΑΕΡΑ [m3/h]</t>
  </si>
  <si>
    <t>E_vent</t>
  </si>
  <si>
    <r>
      <t xml:space="preserve">ΠΑΡΟΧΗ </t>
    </r>
    <r>
      <rPr>
        <sz val="7"/>
        <rFont val="Calibri"/>
        <family val="2"/>
        <charset val="161"/>
        <scheme val="minor"/>
      </rPr>
      <t>[m3/h]</t>
    </r>
  </si>
  <si>
    <t>Τμ. θερ.:</t>
  </si>
  <si>
    <t>Τμ. ψυξ.:</t>
  </si>
  <si>
    <t>R_h</t>
  </si>
  <si>
    <t>Q_r_h</t>
  </si>
  <si>
    <t>R_c</t>
  </si>
  <si>
    <t>Q_r_c</t>
  </si>
  <si>
    <r>
      <t>-</t>
    </r>
    <r>
      <rPr>
        <i/>
        <sz val="9"/>
        <color theme="7" tint="-0.499984740745262"/>
        <rFont val="Calibri"/>
        <family val="2"/>
        <charset val="161"/>
        <scheme val="minor"/>
      </rPr>
      <t xml:space="preserve"> από κατακόρυφα πλευρικά ανοίγματα η περιοχή προς το εσωτερικό του χώρου σε </t>
    </r>
    <r>
      <rPr>
        <b/>
        <i/>
        <sz val="9"/>
        <color theme="7" tint="-0.499984740745262"/>
        <rFont val="Calibri"/>
        <family val="2"/>
        <charset val="161"/>
        <scheme val="minor"/>
      </rPr>
      <t>απόσταση</t>
    </r>
    <r>
      <rPr>
        <i/>
        <sz val="9"/>
        <color theme="7" tint="-0.499984740745262"/>
        <rFont val="Calibri"/>
        <family val="2"/>
        <charset val="161"/>
        <scheme val="minor"/>
      </rPr>
      <t/>
    </r>
  </si>
  <si>
    <r>
      <t xml:space="preserve">    </t>
    </r>
    <r>
      <rPr>
        <b/>
        <i/>
        <sz val="9"/>
        <color theme="7" tint="-0.499984740745262"/>
        <rFont val="Calibri"/>
        <family val="2"/>
        <charset val="161"/>
        <scheme val="minor"/>
      </rPr>
      <t>(βάθος) 4m</t>
    </r>
    <r>
      <rPr>
        <i/>
        <sz val="9"/>
        <color theme="7" tint="-0.499984740745262"/>
        <rFont val="Calibri"/>
        <family val="2"/>
        <charset val="161"/>
        <scheme val="minor"/>
      </rPr>
      <t xml:space="preserve"> και με πλάτος ίσο με το πλάτος του ανοίγματος </t>
    </r>
    <r>
      <rPr>
        <b/>
        <i/>
        <sz val="9"/>
        <color theme="7" tint="-0.499984740745262"/>
        <rFont val="Calibri"/>
        <family val="2"/>
        <charset val="161"/>
        <scheme val="minor"/>
      </rPr>
      <t>αυξημένο κατά δύο μέτρα</t>
    </r>
    <r>
      <rPr>
        <i/>
        <sz val="9"/>
        <color theme="7" tint="-0.499984740745262"/>
        <rFont val="Calibri"/>
        <family val="2"/>
        <charset val="161"/>
        <scheme val="minor"/>
      </rPr>
      <t>.</t>
    </r>
  </si>
  <si>
    <r>
      <t xml:space="preserve">- από οριζόντια ανοίγματα οροφής η </t>
    </r>
    <r>
      <rPr>
        <b/>
        <i/>
        <sz val="9"/>
        <color theme="7" tint="-0.499984740745262"/>
        <rFont val="Calibri"/>
        <family val="2"/>
        <charset val="161"/>
        <scheme val="minor"/>
      </rPr>
      <t>περιοχή που βρίσκεται κάτω</t>
    </r>
    <r>
      <rPr>
        <i/>
        <sz val="9"/>
        <color theme="7" tint="-0.499984740745262"/>
        <rFont val="Calibri"/>
        <family val="2"/>
        <charset val="161"/>
        <scheme val="minor"/>
      </rPr>
      <t xml:space="preserve"> από το άνοιγμα οροφής και</t>
    </r>
  </si>
  <si>
    <t>H_r</t>
  </si>
  <si>
    <t>Τμ. υγρ.</t>
  </si>
  <si>
    <t>Εάν δεν έχετε προσθέσει γραμμές, απαιτείται η εκτύπωση των τριών πρώτων σελίδων, αλλιώς μέχρι αυτό το σημείο.</t>
  </si>
  <si>
    <t xml:space="preserve">   Για ευκολία του επιθεωρητή, ορίζεται ως περιοχή φυσικού φωτισμού:</t>
  </si>
  <si>
    <t>Εκτύπωση των σελίδων με τα αποτελέσματα και αντιγραφή τους στο λογισμικό του Τ.Ε.Ε.</t>
  </si>
  <si>
    <t>end print</t>
  </si>
  <si>
    <r>
      <t xml:space="preserve">Ο χρήστης έχει την </t>
    </r>
    <r>
      <rPr>
        <b/>
        <sz val="11.5"/>
        <color rgb="FFFFC000"/>
        <rFont val="Calibri"/>
        <family val="2"/>
        <charset val="161"/>
        <scheme val="minor"/>
      </rPr>
      <t>αποκλειστική ευθύνη</t>
    </r>
    <r>
      <rPr>
        <sz val="11.5"/>
        <color rgb="FFFFC000"/>
        <rFont val="Calibri"/>
        <family val="2"/>
        <charset val="161"/>
        <scheme val="minor"/>
      </rPr>
      <t xml:space="preserve"> της ορθότητας των τιμών και των υπολογισμών, και της τήρησης των τεχνικών οδηγιών του Τ.Ε.Ε.   </t>
    </r>
  </si>
  <si>
    <r>
      <t xml:space="preserve">+ Pn boiler ZNX </t>
    </r>
    <r>
      <rPr>
        <sz val="8"/>
        <color theme="9" tint="-0.499984740745262"/>
        <rFont val="Calibri"/>
        <family val="2"/>
        <charset val="161"/>
        <scheme val="minor"/>
      </rPr>
      <t>(Kw)</t>
    </r>
    <r>
      <rPr>
        <sz val="10"/>
        <color theme="9" tint="-0.499984740745262"/>
        <rFont val="Calibri"/>
        <family val="2"/>
        <charset val="161"/>
        <scheme val="minor"/>
      </rPr>
      <t>:</t>
    </r>
  </si>
  <si>
    <t>[ονοματεπώνυμο]</t>
  </si>
  <si>
    <t>[θέση ακινήτου]</t>
  </si>
  <si>
    <t>[ημερομηνία επιθεώρησης]</t>
  </si>
  <si>
    <t>ΣΤΟΙΧΕΙΑ ΕΡΓΟΥ</t>
  </si>
  <si>
    <r>
      <t>L</t>
    </r>
    <r>
      <rPr>
        <sz val="10"/>
        <color theme="1"/>
        <rFont val="Calibri"/>
        <family val="2"/>
        <charset val="161"/>
        <scheme val="minor"/>
      </rPr>
      <t>2</t>
    </r>
  </si>
  <si>
    <r>
      <t>Η</t>
    </r>
    <r>
      <rPr>
        <sz val="10"/>
        <color theme="1"/>
        <rFont val="Calibri"/>
        <family val="2"/>
        <charset val="161"/>
        <scheme val="minor"/>
      </rPr>
      <t>2</t>
    </r>
  </si>
  <si>
    <t>L3</t>
  </si>
  <si>
    <t>L+L2</t>
  </si>
  <si>
    <t>H2</t>
  </si>
  <si>
    <t>L3+L/2</t>
  </si>
  <si>
    <t>L1</t>
  </si>
  <si>
    <r>
      <t>Η</t>
    </r>
    <r>
      <rPr>
        <sz val="9"/>
        <color theme="1"/>
        <rFont val="Calibri"/>
        <family val="2"/>
        <charset val="161"/>
        <scheme val="minor"/>
      </rPr>
      <t>καθ</t>
    </r>
    <r>
      <rPr>
        <sz val="11"/>
        <color theme="1"/>
        <rFont val="Calibri"/>
        <family val="2"/>
        <charset val="161"/>
        <scheme val="minor"/>
      </rPr>
      <t>/2</t>
    </r>
  </si>
  <si>
    <r>
      <t>W</t>
    </r>
    <r>
      <rPr>
        <sz val="9"/>
        <color theme="1"/>
        <rFont val="Calibri"/>
        <family val="2"/>
        <charset val="161"/>
        <scheme val="minor"/>
      </rPr>
      <t>σκ</t>
    </r>
  </si>
  <si>
    <t>ΔΗ</t>
  </si>
  <si>
    <r>
      <t>W+W</t>
    </r>
    <r>
      <rPr>
        <sz val="9"/>
        <color theme="1"/>
        <rFont val="Calibri"/>
        <family val="2"/>
        <charset val="161"/>
        <scheme val="minor"/>
      </rPr>
      <t>σκ</t>
    </r>
  </si>
  <si>
    <r>
      <t>8. ΜΗΧΑΝΙΚΟΣ ΑΕΡΙΣΜΟΣ</t>
    </r>
    <r>
      <rPr>
        <sz val="11"/>
        <color theme="1"/>
        <rFont val="Calibri"/>
        <family val="2"/>
        <charset val="161"/>
        <scheme val="minor"/>
      </rPr>
      <t>**</t>
    </r>
  </si>
  <si>
    <t xml:space="preserve">*** Ποσοστό του κτηρίου ή της θερμικής ζώνης που καλύπτεται με φυσικό φωτισμό: </t>
  </si>
  <si>
    <r>
      <rPr>
        <i/>
        <sz val="9"/>
        <color theme="7" tint="-0.499984740745262"/>
        <rFont val="Calibri"/>
        <family val="2"/>
        <charset val="161"/>
        <scheme val="minor"/>
      </rPr>
      <t xml:space="preserve">** Σε περίπτωση που ένα κτίριο κατοικίας διαθέτει μηχανικό αερισμό, τότε </t>
    </r>
    <r>
      <rPr>
        <b/>
        <i/>
        <sz val="9"/>
        <color theme="7" tint="-0.499984740745262"/>
        <rFont val="Calibri"/>
        <family val="2"/>
        <charset val="161"/>
        <scheme val="minor"/>
      </rPr>
      <t>λαμβάνεται υπόψη</t>
    </r>
    <r>
      <rPr>
        <i/>
        <sz val="9"/>
        <color theme="7" tint="-0.499984740745262"/>
        <rFont val="Calibri"/>
        <family val="2"/>
        <charset val="161"/>
        <scheme val="minor"/>
      </rPr>
      <t xml:space="preserve"> στους υπολογισμούς μόνο για το εξεταζόμενο κτίριο.
Στα κτίρια του </t>
    </r>
    <r>
      <rPr>
        <b/>
        <i/>
        <sz val="9"/>
        <color theme="7" tint="-0.499984740745262"/>
        <rFont val="Calibri"/>
        <family val="2"/>
        <charset val="161"/>
        <scheme val="minor"/>
      </rPr>
      <t xml:space="preserve">τριτογενή τομέα </t>
    </r>
    <r>
      <rPr>
        <i/>
        <sz val="9"/>
        <color theme="7" tint="-0.499984740745262"/>
        <rFont val="Calibri"/>
        <family val="2"/>
        <charset val="161"/>
        <scheme val="minor"/>
      </rPr>
      <t xml:space="preserve">η συνολική παροχή νωπού αέρα γίνεται </t>
    </r>
    <r>
      <rPr>
        <b/>
        <i/>
        <sz val="9"/>
        <color theme="7" tint="-0.499984740745262"/>
        <rFont val="Calibri"/>
        <family val="2"/>
        <charset val="161"/>
        <scheme val="minor"/>
      </rPr>
      <t xml:space="preserve">ΜΟΝΟ </t>
    </r>
    <r>
      <rPr>
        <i/>
        <sz val="9"/>
        <color theme="7" tint="-0.499984740745262"/>
        <rFont val="Calibri"/>
        <family val="2"/>
        <charset val="161"/>
        <scheme val="minor"/>
      </rPr>
      <t xml:space="preserve">με μηχανικό αερισμό.
</t>
    </r>
    <r>
      <rPr>
        <b/>
        <sz val="9"/>
        <color theme="7" tint="-0.499984740745262"/>
        <rFont val="Calibri"/>
        <family val="2"/>
        <charset val="161"/>
        <scheme val="minor"/>
      </rPr>
      <t xml:space="preserve">Θεωρητικό σύστημα μηχανικού αερισμού: </t>
    </r>
    <r>
      <rPr>
        <i/>
        <sz val="9"/>
        <color theme="7" tint="-0.499984740745262"/>
        <rFont val="Calibri"/>
        <family val="2"/>
        <charset val="161"/>
        <scheme val="minor"/>
      </rPr>
      <t xml:space="preserve">παροχή αέρα σύμφωνα με τα ελάχιστα απαιτούμενα όρια, χωρίς ανακυκλοφορία και χωρίς ανάκτηση θερμότητας / ψύξης, με ανεμιστήρες με E_vent= 1,0 kW/m³/s. </t>
    </r>
  </si>
  <si>
    <t>συντελεστες Ffin</t>
  </si>
  <si>
    <t>[αριθμ. οριζόντιας ιδιοκτησίας ή κτίριο]</t>
  </si>
  <si>
    <t>(για τα σύμβολα βλ. σκαριφήματα άνω)</t>
  </si>
  <si>
    <t>[υφιστάμενος]</t>
  </si>
  <si>
    <t>εως 100</t>
  </si>
  <si>
    <t>100-200</t>
  </si>
  <si>
    <t>200-300</t>
  </si>
  <si>
    <t>300-400</t>
  </si>
  <si>
    <t>400&amp;ανω</t>
  </si>
  <si>
    <r>
      <t xml:space="preserve">"Οποιαδήποτε διόρθωση ή αναβάθμιση του υπολογιστικού φύλλου θα δημοσιεύεται στην </t>
    </r>
    <r>
      <rPr>
        <u/>
        <sz val="10"/>
        <color rgb="FF002060"/>
        <rFont val="Calibri"/>
        <family val="2"/>
        <charset val="161"/>
      </rPr>
      <t>ιστοσελίδα</t>
    </r>
    <r>
      <rPr>
        <sz val="10"/>
        <color rgb="FF002060"/>
        <rFont val="Calibri"/>
        <family val="2"/>
        <charset val="161"/>
      </rPr>
      <t xml:space="preserve"> μας" </t>
    </r>
  </si>
  <si>
    <t xml:space="preserve">ΣΥΝΟΛΙΚΟ % </t>
  </si>
  <si>
    <t>ΠΡΟΣΑΝΑΤΟΛΙΣΜΟΣ</t>
  </si>
  <si>
    <t>ΠΡΙΝ</t>
  </si>
  <si>
    <t>ΜΕΤΑ</t>
  </si>
  <si>
    <t>ΤΙΜΗ</t>
  </si>
  <si>
    <t>ΓΩΝΙΑ</t>
  </si>
  <si>
    <t>ΑΝΑ 22,5</t>
  </si>
  <si>
    <t>Fhor (απεναντι εμπ.)</t>
  </si>
  <si>
    <t>Β</t>
  </si>
  <si>
    <t>Α</t>
  </si>
  <si>
    <t>Ν</t>
  </si>
  <si>
    <t>Δ</t>
  </si>
  <si>
    <t>ΒΑ</t>
  </si>
  <si>
    <t>ΝΑ</t>
  </si>
  <si>
    <t>ΝΔ</t>
  </si>
  <si>
    <t>ΒΔ</t>
  </si>
  <si>
    <t xml:space="preserve">ΤΙΜΗ </t>
  </si>
  <si>
    <t>ΓΩΝΙΑ α</t>
  </si>
  <si>
    <t>θερμανσης</t>
  </si>
  <si>
    <t>ψυξης</t>
  </si>
  <si>
    <t>Fov (προβολος)</t>
  </si>
  <si>
    <t>Fovc με τεντα</t>
  </si>
  <si>
    <t>ΓΩΝΙΑ β</t>
  </si>
  <si>
    <t>ψυξης για τεντα</t>
  </si>
  <si>
    <t>Ffin πλ. Αριστερα</t>
  </si>
  <si>
    <t>ΓΩΝΙΑ γ</t>
  </si>
  <si>
    <t>Ffin πλ. Δεξια</t>
  </si>
  <si>
    <t>γ0</t>
  </si>
  <si>
    <t>γi</t>
  </si>
  <si>
    <t>γ1</t>
  </si>
  <si>
    <t>α0</t>
  </si>
  <si>
    <t>αi</t>
  </si>
  <si>
    <t>α1</t>
  </si>
  <si>
    <t>f00</t>
  </si>
  <si>
    <t>f0i</t>
  </si>
  <si>
    <t>f01</t>
  </si>
  <si>
    <t>fii</t>
  </si>
  <si>
    <t>f1i</t>
  </si>
  <si>
    <t>f10</t>
  </si>
  <si>
    <t>f11</t>
  </si>
  <si>
    <t>γραμμικη περεμβολη για Fii</t>
  </si>
  <si>
    <t>για βημα γωνιας πινακα: 1/2,5=0,40 για προβολους και οριζοντα και 1/5=0,20 για προεξοχες</t>
  </si>
  <si>
    <t>για βημα προαν.: 1/22,5=0,0444</t>
  </si>
  <si>
    <t>α/γ</t>
  </si>
  <si>
    <t>f0i = f00+0,40*(a0-ai)*(f00-f10)</t>
  </si>
  <si>
    <t>f1i = f01+0,40*(a0-ai)*(f01-f11)</t>
  </si>
  <si>
    <r>
      <rPr>
        <b/>
        <sz val="11"/>
        <color theme="1"/>
        <rFont val="Calibri"/>
        <family val="2"/>
        <charset val="161"/>
        <scheme val="minor"/>
      </rPr>
      <t xml:space="preserve">fii </t>
    </r>
    <r>
      <rPr>
        <sz val="11"/>
        <color theme="1"/>
        <rFont val="Calibri"/>
        <family val="2"/>
        <charset val="161"/>
        <scheme val="minor"/>
      </rPr>
      <t>= f0i+0,0444*(γi-γ0)*(f1i-f0i)</t>
    </r>
  </si>
  <si>
    <t>ΠΕΡΙΟΧΗ ΦΦ [%]***</t>
  </si>
  <si>
    <t>9. ΦΩΤΙΣΜΟΣ</t>
  </si>
  <si>
    <t>Β-ΒΑ</t>
  </si>
  <si>
    <t>ΒΑ-Α</t>
  </si>
  <si>
    <t>Α-ΝΑ</t>
  </si>
  <si>
    <t>ΝΑ-Ν</t>
  </si>
  <si>
    <t>Ν-ΝΔ</t>
  </si>
  <si>
    <t>ΝΔ-Δ</t>
  </si>
  <si>
    <t>Δ-ΒΔ</t>
  </si>
  <si>
    <t>ΒΔ-Β</t>
  </si>
  <si>
    <t>γωνίες σκίασης</t>
  </si>
  <si>
    <t>[F=1,00 καθόλου σκιά | F=0,00 πλήρης σκιά]</t>
  </si>
  <si>
    <t>U</t>
  </si>
  <si>
    <t>ανεπιχριστο από τη μια ή τις δυο οψεις</t>
  </si>
  <si>
    <t>επιχρισμενο και από τις δυο οψεις</t>
  </si>
  <si>
    <t>επενδεδυμενο με αργολιθοδομη</t>
  </si>
  <si>
    <t>επενδεδυμενο με μαρμαρινες πλακες</t>
  </si>
  <si>
    <t>επενδεδυμενο με άλλες πλακες</t>
  </si>
  <si>
    <t>επενδεδυμενο με διακοσμιτικη οπτοπλινθοδομη</t>
  </si>
  <si>
    <t>μπατικη ή δικελυφη δρομικη οπτοπλινθοδομη</t>
  </si>
  <si>
    <t>δρομικη οπτοπλινθοδομη</t>
  </si>
  <si>
    <t>επιστεγασεις (με ή χωρις ψευδοροφη)</t>
  </si>
  <si>
    <t>συμβατικου τυπου δωμα</t>
  </si>
  <si>
    <t>ανεστραμμενου τυπου δωμα</t>
  </si>
  <si>
    <t>αεριζομενο δωμα</t>
  </si>
  <si>
    <t>φυτεμενο δωμα</t>
  </si>
  <si>
    <t>οριζοντια οροφη κατω από μη θερμ. στεγη</t>
  </si>
  <si>
    <t>οροφη κατω από μη θερμαιν. Χωρο</t>
  </si>
  <si>
    <t>κεραμοσκεπη επι κεκλιμενης πλακας Ο.Σ.</t>
  </si>
  <si>
    <t>κεραμοσκεπη επι κεκκλιμενης ξυλινης στεγης</t>
  </si>
  <si>
    <t>δαπεδα με επικαλυψη παντος τυπου</t>
  </si>
  <si>
    <t>επανω από ανοικτο υποστυλο χωρο (pilotis)</t>
  </si>
  <si>
    <t>επι εδαφους</t>
  </si>
  <si>
    <t>επανω από μη θερμαινομενο χωρο</t>
  </si>
  <si>
    <t>στοιχειο φεροντος οργανισμου Ο.Σ. (&lt;80εκ)</t>
  </si>
  <si>
    <t>Umax συμφωνα με τον ΚΘΚ (1979)</t>
  </si>
  <si>
    <t>Umax συμφωνα με τον ΚΕΝΑΚ</t>
  </si>
  <si>
    <r>
      <t>τυπικες τιμες προ ΚΘΚ, U</t>
    </r>
    <r>
      <rPr>
        <b/>
        <sz val="8"/>
        <color theme="1"/>
        <rFont val="Calibri"/>
        <family val="2"/>
        <charset val="161"/>
        <scheme val="minor"/>
      </rPr>
      <t>max</t>
    </r>
    <r>
      <rPr>
        <b/>
        <sz val="11"/>
        <color theme="1"/>
        <rFont val="Calibri"/>
        <family val="2"/>
        <charset val="161"/>
        <scheme val="minor"/>
      </rPr>
      <t xml:space="preserve"> απο ΚΘΚ ή ΚΕΝΑΚ</t>
    </r>
  </si>
  <si>
    <t>χωρις θερμ.</t>
  </si>
  <si>
    <t>ανεπαρκη θερμ.</t>
  </si>
  <si>
    <t>θερμομονωση:</t>
  </si>
  <si>
    <t>κατακορυφο δομικο στοιχειο:</t>
  </si>
  <si>
    <t>οριζοντιο δομικο στοιχειο:</t>
  </si>
  <si>
    <t>σε επαφη με:</t>
  </si>
  <si>
    <t>χωρις θερμoμ.</t>
  </si>
  <si>
    <t>επαφη με αερα</t>
  </si>
  <si>
    <t>επαφη με Μ.Θ.Χ.</t>
  </si>
  <si>
    <t>επαφη με εδαφος</t>
  </si>
  <si>
    <t>εξωτερικη οριζοντια ή κεκλιμενη επιφανεια σε επαφη με τον εξ. αερα (οροφες, πυλωτες)</t>
  </si>
  <si>
    <t>εξωτερικη τοιχοι σε επαφη με τον εξωτερικο αερα</t>
  </si>
  <si>
    <t>δαπεδα σε επαφη με το εδαφος ή με κλειστους μη θερμαινομενους χωρους</t>
  </si>
  <si>
    <t>τοιχοι σε επαφη με το εδαφος ή με κλειστους μη θερμαινομενους χωρους</t>
  </si>
  <si>
    <t>δομικο στοιχειο:</t>
  </si>
  <si>
    <t>ΚΘΚ</t>
  </si>
  <si>
    <t>δομικο στοιχειο</t>
  </si>
  <si>
    <t>εξωτερικη οριζοντια ή κεκλιμενη επιφανεια σε επαφη με τον εξ. αερα (οροφες)</t>
  </si>
  <si>
    <t>δαπεδα σε επαφη με τον εξ. αερα (πυλωτη)</t>
  </si>
  <si>
    <t>κλιμ. Ζωνη:</t>
  </si>
  <si>
    <t>Ζωνη Α</t>
  </si>
  <si>
    <t>Ζωνη Β</t>
  </si>
  <si>
    <t>Ζωνη Γ</t>
  </si>
  <si>
    <t>Ζωνη Δ</t>
  </si>
  <si>
    <t>-------</t>
  </si>
  <si>
    <r>
      <rPr>
        <sz val="7"/>
        <color theme="5" tint="-0.499984740745262"/>
        <rFont val="Calibri"/>
        <family val="2"/>
        <charset val="161"/>
        <scheme val="minor"/>
      </rPr>
      <t>συντ</t>
    </r>
    <r>
      <rPr>
        <sz val="9"/>
        <color theme="5" tint="-0.499984740745262"/>
        <rFont val="Calibri"/>
        <family val="2"/>
        <charset val="161"/>
        <scheme val="minor"/>
      </rPr>
      <t>.</t>
    </r>
    <r>
      <rPr>
        <b/>
        <sz val="10"/>
        <color theme="5" tint="-0.499984740745262"/>
        <rFont val="Calibri"/>
        <family val="2"/>
        <charset val="161"/>
        <scheme val="minor"/>
      </rPr>
      <t>U</t>
    </r>
    <r>
      <rPr>
        <b/>
        <sz val="9"/>
        <color theme="5" tint="-0.499984740745262"/>
        <rFont val="Calibri"/>
        <family val="2"/>
        <charset val="161"/>
        <scheme val="minor"/>
      </rPr>
      <t>=</t>
    </r>
  </si>
  <si>
    <t>τιμες</t>
  </si>
  <si>
    <t>στοιχειο</t>
  </si>
  <si>
    <t>θερμομ.</t>
  </si>
  <si>
    <t>επαφη με</t>
  </si>
  <si>
    <t>ζωνη ή</t>
  </si>
  <si>
    <t>εξωτερικες πορτες χωρις υαλοπινακες</t>
  </si>
  <si>
    <t>υλικο:</t>
  </si>
  <si>
    <t>μεταλλο</t>
  </si>
  <si>
    <t>συνθετικο</t>
  </si>
  <si>
    <t>ξυλο</t>
  </si>
  <si>
    <r>
      <t xml:space="preserve">   U</t>
    </r>
    <r>
      <rPr>
        <sz val="9"/>
        <color theme="1"/>
        <rFont val="Calibri"/>
        <family val="2"/>
        <charset val="161"/>
        <scheme val="minor"/>
      </rPr>
      <t>b</t>
    </r>
  </si>
  <si>
    <r>
      <t>L</t>
    </r>
    <r>
      <rPr>
        <sz val="9"/>
        <color theme="1"/>
        <rFont val="Calibri"/>
        <family val="2"/>
        <charset val="161"/>
        <scheme val="minor"/>
      </rPr>
      <t>απεν</t>
    </r>
  </si>
  <si>
    <r>
      <t>L+L</t>
    </r>
    <r>
      <rPr>
        <sz val="9"/>
        <color theme="1"/>
        <rFont val="Calibri"/>
        <family val="2"/>
        <charset val="161"/>
        <scheme val="minor"/>
      </rPr>
      <t>απεν</t>
    </r>
  </si>
  <si>
    <t>μεταλλικο χωρις θ.δ.</t>
  </si>
  <si>
    <t>μεταλλικο με θ.δ. 12mm</t>
  </si>
  <si>
    <t>μεταλλικο με θ.δ. 24mm</t>
  </si>
  <si>
    <t>ξυλινο</t>
  </si>
  <si>
    <t>τυπος πλαισιου</t>
  </si>
  <si>
    <t>Uf</t>
  </si>
  <si>
    <t>χωρις επιστρωση χαμ. Εκπ.</t>
  </si>
  <si>
    <t>με επιστρωση χαμ. Εκπ.</t>
  </si>
  <si>
    <t>τυπος υαλοπινακα</t>
  </si>
  <si>
    <t>διδυμος εγχρωμος με διακενο 6mm</t>
  </si>
  <si>
    <t>διδυμος με διακενο αερα 6mm</t>
  </si>
  <si>
    <t>διδυμος με διακενο αερα 12mm</t>
  </si>
  <si>
    <t>διδυμος εγχρωμος με διακενο 12mm</t>
  </si>
  <si>
    <t>διδυμος 6mm και μεβρ. χαμ. εκπ.</t>
  </si>
  <si>
    <t>διδυμος 12mm και μεβρ. χαμ. εκπ.</t>
  </si>
  <si>
    <t>υαλοτουβλα</t>
  </si>
  <si>
    <t>Ug</t>
  </si>
  <si>
    <t>g</t>
  </si>
  <si>
    <t>ggl</t>
  </si>
  <si>
    <t>gem</t>
  </si>
  <si>
    <t>τυπος πλαισιου:</t>
  </si>
  <si>
    <t>τυπος υαλοπινακα:</t>
  </si>
  <si>
    <t>μονος υαλοπινακας</t>
  </si>
  <si>
    <t>ΤΥΠΟΣ ΠΛΑΙΣΙΟΥ</t>
  </si>
  <si>
    <t>ΠΟΣΟΣΤΟ %</t>
  </si>
  <si>
    <t>ΤΥΠΟΣ ΥΑΛΟΣΤΑΣ.</t>
  </si>
  <si>
    <t xml:space="preserve">Uv_F = </t>
  </si>
  <si>
    <t>Uf=</t>
  </si>
  <si>
    <t>Ug=</t>
  </si>
  <si>
    <t>Ψg=</t>
  </si>
  <si>
    <t>gw=</t>
  </si>
  <si>
    <t>ggL=</t>
  </si>
  <si>
    <t>Ig=</t>
  </si>
  <si>
    <r>
      <t>εκτιμηση γραμμικα από πιν. 3.12 (</t>
    </r>
    <r>
      <rPr>
        <sz val="11"/>
        <color theme="1"/>
        <rFont val="Calibri"/>
        <family val="2"/>
        <charset val="161"/>
      </rPr>
      <t>±</t>
    </r>
    <r>
      <rPr>
        <sz val="11"/>
        <color theme="1"/>
        <rFont val="Calibri"/>
        <family val="2"/>
        <charset val="161"/>
        <scheme val="minor"/>
      </rPr>
      <t>0,1)</t>
    </r>
  </si>
  <si>
    <r>
      <t>[εάν U</t>
    </r>
    <r>
      <rPr>
        <sz val="10"/>
        <color theme="1" tint="0.34998626667073579"/>
        <rFont val="Calibri"/>
        <family val="2"/>
        <charset val="161"/>
      </rPr>
      <t>≤</t>
    </r>
    <r>
      <rPr>
        <sz val="10"/>
        <color theme="1" tint="0.34998626667073579"/>
        <rFont val="Calibri"/>
        <family val="2"/>
        <charset val="161"/>
        <scheme val="minor"/>
      </rPr>
      <t>0,60 τότε F</t>
    </r>
    <r>
      <rPr>
        <sz val="8"/>
        <color theme="1" tint="0.34998626667073579"/>
        <rFont val="Calibri"/>
        <family val="2"/>
        <charset val="161"/>
        <scheme val="minor"/>
      </rPr>
      <t>ovh</t>
    </r>
    <r>
      <rPr>
        <sz val="10"/>
        <color theme="1" tint="0.34998626667073579"/>
        <rFont val="Calibri"/>
        <family val="2"/>
        <charset val="161"/>
        <scheme val="minor"/>
      </rPr>
      <t>=F</t>
    </r>
    <r>
      <rPr>
        <sz val="8"/>
        <color theme="1" tint="0.34998626667073579"/>
        <rFont val="Calibri"/>
        <family val="2"/>
        <charset val="161"/>
        <scheme val="minor"/>
      </rPr>
      <t>ovc</t>
    </r>
    <r>
      <rPr>
        <sz val="10"/>
        <color theme="1" tint="0.34998626667073579"/>
        <rFont val="Calibri"/>
        <family val="2"/>
        <charset val="161"/>
        <scheme val="minor"/>
      </rPr>
      <t>=0,90 &amp; F</t>
    </r>
    <r>
      <rPr>
        <sz val="8"/>
        <color theme="1" tint="0.34998626667073579"/>
        <rFont val="Calibri"/>
        <family val="2"/>
        <charset val="161"/>
        <scheme val="minor"/>
      </rPr>
      <t>xx</t>
    </r>
    <r>
      <rPr>
        <sz val="10"/>
        <color theme="1" tint="0.34998626667073579"/>
        <rFont val="Calibri"/>
        <family val="2"/>
        <charset val="161"/>
        <scheme val="minor"/>
      </rPr>
      <t>= 1,00]</t>
    </r>
  </si>
  <si>
    <t>αρ.οροφ.</t>
  </si>
  <si>
    <t>15(%)</t>
  </si>
  <si>
    <t>18(%)</t>
  </si>
  <si>
    <r>
      <t>%</t>
    </r>
    <r>
      <rPr>
        <sz val="8"/>
        <color theme="1"/>
        <rFont val="Calibri"/>
        <family val="2"/>
        <charset val="161"/>
        <scheme val="minor"/>
      </rPr>
      <t>betton</t>
    </r>
  </si>
  <si>
    <t>4.3 boiler Z.N.X.</t>
  </si>
  <si>
    <t>ΖΝΧ / ημερα</t>
  </si>
  <si>
    <t>lt/ατ/ημ</t>
  </si>
  <si>
    <t>lt/m2/ημ</t>
  </si>
  <si>
    <t>ελαχ. μεση μηνιαια θερμοκρασια</t>
  </si>
  <si>
    <t>ανω 500</t>
  </si>
  <si>
    <t>lt/τμ/ημ</t>
  </si>
  <si>
    <t>ή εμβ.:</t>
  </si>
  <si>
    <t>άτομα:</t>
  </si>
  <si>
    <t xml:space="preserve">κλ. ζωνη </t>
  </si>
  <si>
    <t>χαμηλοτερη θερμ. νερου:</t>
  </si>
  <si>
    <r>
      <rPr>
        <sz val="8"/>
        <rFont val="Calibri"/>
        <family val="2"/>
        <charset val="161"/>
        <scheme val="minor"/>
      </rPr>
      <t>Ανω</t>
    </r>
    <r>
      <rPr>
        <sz val="9"/>
        <rFont val="Calibri"/>
        <family val="2"/>
        <charset val="161"/>
        <scheme val="minor"/>
      </rPr>
      <t>500</t>
    </r>
    <r>
      <rPr>
        <sz val="8"/>
        <rFont val="Calibri"/>
        <family val="2"/>
        <charset val="161"/>
        <scheme val="minor"/>
      </rPr>
      <t>μ</t>
    </r>
  </si>
  <si>
    <t>Γ</t>
  </si>
  <si>
    <t>ΧΡΗΣΗ:</t>
  </si>
  <si>
    <r>
      <rPr>
        <sz val="10"/>
        <color theme="7" tint="-0.499984740745262"/>
        <rFont val="Calibri"/>
        <family val="2"/>
        <charset val="161"/>
        <scheme val="minor"/>
      </rPr>
      <t>ΑΠΑΙΤOYM. ΙΣΧΥΣ Pgen</t>
    </r>
    <r>
      <rPr>
        <sz val="10"/>
        <color theme="9" tint="-0.499984740745262"/>
        <rFont val="Calibri"/>
        <family val="2"/>
        <charset val="161"/>
        <scheme val="minor"/>
      </rPr>
      <t>+Pn</t>
    </r>
    <r>
      <rPr>
        <sz val="10"/>
        <color theme="1"/>
        <rFont val="Calibri"/>
        <family val="2"/>
        <charset val="161"/>
        <scheme val="minor"/>
      </rPr>
      <t>:</t>
    </r>
  </si>
  <si>
    <t>Αλεξαν/πολη</t>
  </si>
  <si>
    <t>Αθηνα</t>
  </si>
  <si>
    <t>Ηρακλειο</t>
  </si>
  <si>
    <t>Καστορια</t>
  </si>
  <si>
    <t>Λαρισα</t>
  </si>
  <si>
    <t>Λημνος</t>
  </si>
  <si>
    <t>Ναξος</t>
  </si>
  <si>
    <t>Πατρα</t>
  </si>
  <si>
    <t>Θεσσαλονικη</t>
  </si>
  <si>
    <t>Τριπολη</t>
  </si>
  <si>
    <t>Μεσος ορος</t>
  </si>
  <si>
    <t>Πολη:</t>
  </si>
  <si>
    <t>Απλός</t>
  </si>
  <si>
    <t>Επιλεκτικός</t>
  </si>
  <si>
    <t>Κενου</t>
  </si>
  <si>
    <t>ΚΑΤΟΙΚΙΕΣ</t>
  </si>
  <si>
    <t>ΤΡΙΤΟΓΕΝΗΣ</t>
  </si>
  <si>
    <t>Κλίση:</t>
  </si>
  <si>
    <t>κατοικία</t>
  </si>
  <si>
    <t>τριτογενής</t>
  </si>
  <si>
    <t>Χρήση:</t>
  </si>
  <si>
    <t>χρηση</t>
  </si>
  <si>
    <t>πολη</t>
  </si>
  <si>
    <t>κλιση</t>
  </si>
  <si>
    <t>φθορες</t>
  </si>
  <si>
    <t>οχι</t>
  </si>
  <si>
    <t>τυπος</t>
  </si>
  <si>
    <t>1.</t>
  </si>
  <si>
    <t>συνα</t>
  </si>
  <si>
    <t>τελικο</t>
  </si>
  <si>
    <t>2.</t>
  </si>
  <si>
    <t xml:space="preserve">     ↓ για θέρμανση/ από μελέτη</t>
  </si>
  <si>
    <t>τυπικες τιμες προ ΚΘΚ, Umax απο ΚΘΚ ή ΚΕΝΑΚ</t>
  </si>
  <si>
    <t xml:space="preserve">                                                ΔΙΕΙΣΔΥΣΗ ΑΕΡΑ πιν.3.26 σελ.82</t>
  </si>
  <si>
    <t xml:space="preserve">                                                             </t>
  </si>
  <si>
    <t>πορτα</t>
  </si>
  <si>
    <t>παραθυρο</t>
  </si>
  <si>
    <t>Κούφωμα χωρίς υαλοπίνακα (πόρτα) και χωρίς αεροστεγανότητα</t>
  </si>
  <si>
    <t>Κούφωμα με μονό υαλοπίνακα, μη αεροστεγές, χωνευτό, επάλληλο, ανοιγόμενο</t>
  </si>
  <si>
    <t>Κούφωμα με διπλό υαλοπίνακα, επάλληλα συρόμενο, με ψήκτρες</t>
  </si>
  <si>
    <t>Ανοιγόμενο κούφωμα, με διπλό υαλοπίνακα, χωρίς πιστοποίηση</t>
  </si>
  <si>
    <t>Κούφωμα χωρίς υαλοπίνακα (πόρτα), με αεροστεγανότητα μη πιστοποιημένη</t>
  </si>
  <si>
    <t>Ανοιγόμενο κούφωμα με διπλό υαλοπίνακα, αεροστεγές, με πιστοποίηση</t>
  </si>
  <si>
    <t>Αεροστεγές κούφωμα, χωρίς υαλοπίνακα (πόρτα), με πιστοποίηση</t>
  </si>
  <si>
    <t xml:space="preserve">Είδος ανοίγματος (υαλοστάσια, πόρτες κ.ά.) </t>
  </si>
  <si>
    <t>Κουφώματα με ξύλινο πλαίσιο</t>
  </si>
  <si>
    <t>Κουφώματα με μεταλλικό ή συνθετικό πλαίσιο</t>
  </si>
  <si>
    <t>πλαίσιο:</t>
  </si>
  <si>
    <t>ξύλινο</t>
  </si>
  <si>
    <t>μεταλλικό</t>
  </si>
  <si>
    <t>συνθετικό</t>
  </si>
  <si>
    <t>ΠΟΡΤΑ</t>
  </si>
  <si>
    <t>ΠΑΡΑΘΥΡΟ</t>
  </si>
  <si>
    <r>
      <t xml:space="preserve">τ.μ.  </t>
    </r>
    <r>
      <rPr>
        <b/>
        <sz val="10"/>
        <color theme="3" tint="-0.249977111117893"/>
        <rFont val="Calibri"/>
        <family val="2"/>
        <charset val="161"/>
        <scheme val="minor"/>
      </rPr>
      <t>Χ</t>
    </r>
  </si>
  <si>
    <r>
      <rPr>
        <b/>
        <sz val="8"/>
        <color theme="9" tint="-0.499984740745262"/>
        <rFont val="Calibri"/>
        <family val="2"/>
        <charset val="161"/>
        <scheme val="minor"/>
      </rPr>
      <t>ΠΡΟΣΟΧΗ:</t>
    </r>
    <r>
      <rPr>
        <sz val="8"/>
        <color theme="2" tint="-0.749992370372631"/>
        <rFont val="Calibri"/>
        <family val="2"/>
        <charset val="161"/>
        <scheme val="minor"/>
      </rPr>
      <t xml:space="preserve"> για </t>
    </r>
    <r>
      <rPr>
        <b/>
        <sz val="8"/>
        <color theme="2" tint="-0.749992370372631"/>
        <rFont val="Calibri"/>
        <family val="2"/>
        <charset val="161"/>
        <scheme val="minor"/>
      </rPr>
      <t>επιπλέον αδιαφανή ή διαφανή στοιχεία,</t>
    </r>
    <r>
      <rPr>
        <sz val="8"/>
        <color theme="2" tint="-0.749992370372631"/>
        <rFont val="Calibri"/>
        <family val="2"/>
        <charset val="161"/>
        <scheme val="minor"/>
      </rPr>
      <t xml:space="preserve"> εισάγετε αντίστοιχο αριθμό γραμμών εντος του πίνακα και </t>
    </r>
    <r>
      <rPr>
        <b/>
        <sz val="8"/>
        <color theme="2" tint="-0.749992370372631"/>
        <rFont val="Calibri"/>
        <family val="2"/>
        <charset val="161"/>
        <scheme val="minor"/>
      </rPr>
      <t xml:space="preserve">σύρετε τη προηγούμενη γραμμή </t>
    </r>
    <r>
      <rPr>
        <sz val="8"/>
        <color theme="2" tint="-0.749992370372631"/>
        <rFont val="Calibri"/>
        <family val="2"/>
        <charset val="161"/>
        <scheme val="minor"/>
      </rPr>
      <t xml:space="preserve">(βλ. </t>
    </r>
    <r>
      <rPr>
        <b/>
        <sz val="8"/>
        <color theme="2" tint="-0.749992370372631"/>
        <rFont val="Calibri"/>
        <family val="2"/>
        <charset val="161"/>
        <scheme val="minor"/>
      </rPr>
      <t>ΓΕΝΙΚΕΣ ΟΔΗΓΙΕΣ ΧΡΗΣΗΣ</t>
    </r>
    <r>
      <rPr>
        <sz val="8"/>
        <color theme="2" tint="-0.749992370372631"/>
        <rFont val="Calibri"/>
        <family val="2"/>
        <charset val="161"/>
        <scheme val="minor"/>
      </rPr>
      <t>, σελ.11)</t>
    </r>
    <r>
      <rPr>
        <b/>
        <sz val="8"/>
        <color theme="2" tint="-0.749992370372631"/>
        <rFont val="Calibri"/>
        <family val="2"/>
        <charset val="161"/>
        <scheme val="minor"/>
      </rPr>
      <t>.</t>
    </r>
  </si>
  <si>
    <r>
      <t xml:space="preserve">τ.μ.   </t>
    </r>
    <r>
      <rPr>
        <b/>
        <sz val="10"/>
        <color theme="3" tint="-0.249977111117893"/>
        <rFont val="Calibri"/>
        <family val="2"/>
        <charset val="161"/>
        <scheme val="minor"/>
      </rPr>
      <t>Χ</t>
    </r>
  </si>
  <si>
    <r>
      <rPr>
        <b/>
        <sz val="12"/>
        <color theme="3" tint="-0.249977111117893"/>
        <rFont val="Calibri"/>
        <family val="2"/>
        <charset val="161"/>
        <scheme val="minor"/>
      </rPr>
      <t>+</t>
    </r>
    <r>
      <rPr>
        <sz val="9"/>
        <color theme="3" tint="-0.249977111117893"/>
        <rFont val="Calibri"/>
        <family val="2"/>
        <charset val="161"/>
        <scheme val="minor"/>
      </rPr>
      <t xml:space="preserve">     παράθυρα:</t>
    </r>
  </si>
  <si>
    <t>Δείτε επίσης τις ΓΕΝΙΚΕΣ ΟΔΗΓΙΕΣ ΧΡΗΣΗΣ που θα βρείτε στην ιστοσελίδα.</t>
  </si>
  <si>
    <t>Α/Α</t>
  </si>
  <si>
    <t xml:space="preserve"> ΥΠΟΛΟΓΙΣΜΟΙ ΕΠΙΘΕΩΡΗΣΗΣ</t>
  </si>
  <si>
    <t xml:space="preserve"> ΛΟΙΠΑ ΣΤΟΙΧΕΙΑ</t>
  </si>
  <si>
    <t>δ.αέρα</t>
  </si>
  <si>
    <t>ειδος Α</t>
  </si>
  <si>
    <t>α/α έργου:</t>
  </si>
  <si>
    <t>αμοιβή:</t>
  </si>
  <si>
    <t>Έτος έκδοσης οικ. άδειας ή άδειας δόμησης</t>
  </si>
  <si>
    <t>Ζεστό Νερό Χρήσης</t>
  </si>
  <si>
    <t>ετήσια κατανάλ.:</t>
  </si>
  <si>
    <t>Θερμαινόμενη επιφάνεια</t>
  </si>
  <si>
    <t>εμβαδόν:</t>
  </si>
  <si>
    <t>ύψος(μεικτό):</t>
  </si>
  <si>
    <t>θερμαινόμ. Όγκος:</t>
  </si>
  <si>
    <t>Ψυχόμενη επιφάνεια</t>
  </si>
  <si>
    <t>ψυχόμενος Όγκος:</t>
  </si>
  <si>
    <t>Χρήση ιδιοκτησίας:</t>
  </si>
  <si>
    <t>Ιδιοκτησία:</t>
  </si>
  <si>
    <t>[ μετατροπή μοναδ. :</t>
  </si>
  <si>
    <t>βαθμός απόδοσης δικτύου: 1,00 / βαθμός απόδοσης τερματικής μονάδας τύπου split (Α/C) : 0,93</t>
  </si>
  <si>
    <t>άτομα ή εμβ. ή συνδυασμό των δυο</t>
  </si>
  <si>
    <t>χαμηλότερη θερμ. νερού:</t>
  </si>
  <si>
    <t xml:space="preserve">κλ. ζώνη </t>
  </si>
  <si>
    <t>ψυχ. επιφάνεια</t>
  </si>
  <si>
    <t>ποσοστό</t>
  </si>
  <si>
    <r>
      <t xml:space="preserve">σύστημα με αντλίες θερμότητας ισχύος </t>
    </r>
    <r>
      <rPr>
        <b/>
        <i/>
        <sz val="9"/>
        <color theme="7" tint="-0.499984740745262"/>
        <rFont val="Calibri"/>
        <family val="2"/>
        <charset val="161"/>
        <scheme val="minor"/>
      </rPr>
      <t>0,00</t>
    </r>
  </si>
  <si>
    <r>
      <t>βαθμός κάλυψης [</t>
    </r>
    <r>
      <rPr>
        <b/>
        <i/>
        <sz val="9"/>
        <color theme="7" tint="-0.499984740745262"/>
        <rFont val="Calibri"/>
        <family val="2"/>
        <charset val="161"/>
        <scheme val="minor"/>
      </rPr>
      <t>0,50</t>
    </r>
    <r>
      <rPr>
        <i/>
        <sz val="9"/>
        <color theme="7" tint="-0.499984740745262"/>
        <rFont val="Calibri"/>
        <family val="2"/>
        <charset val="161"/>
        <scheme val="minor"/>
      </rPr>
      <t xml:space="preserve"> / 1,00]</t>
    </r>
  </si>
  <si>
    <r>
      <t xml:space="preserve">ισχύς δικτύου </t>
    </r>
    <r>
      <rPr>
        <b/>
        <i/>
        <sz val="9"/>
        <color theme="7" tint="-0.499984740745262"/>
        <rFont val="Calibri"/>
        <family val="2"/>
        <charset val="161"/>
        <scheme val="minor"/>
      </rPr>
      <t>0.00</t>
    </r>
    <r>
      <rPr>
        <i/>
        <sz val="9"/>
        <color theme="7" tint="-0.499984740745262"/>
        <rFont val="Calibri"/>
        <family val="2"/>
        <charset val="161"/>
        <scheme val="minor"/>
      </rPr>
      <t>, σε εσ. ή/και 20% σε εξ.</t>
    </r>
  </si>
  <si>
    <r>
      <t>βαθμός απόδοσης δικτύου [</t>
    </r>
    <r>
      <rPr>
        <b/>
        <i/>
        <sz val="9"/>
        <color theme="7" tint="-0.499984740745262"/>
        <rFont val="Calibri"/>
        <family val="2"/>
        <charset val="161"/>
        <scheme val="minor"/>
      </rPr>
      <t>1,00</t>
    </r>
    <r>
      <rPr>
        <i/>
        <sz val="9"/>
        <color theme="7" tint="-0.499984740745262"/>
        <rFont val="Calibri"/>
        <family val="2"/>
        <charset val="161"/>
        <scheme val="minor"/>
      </rPr>
      <t xml:space="preserve"> / 0,95]</t>
    </r>
  </si>
  <si>
    <r>
      <t>βαθμός αποδ. τερμ. μονάδων [</t>
    </r>
    <r>
      <rPr>
        <b/>
        <i/>
        <sz val="9"/>
        <color theme="7" tint="-0.499984740745262"/>
        <rFont val="Calibri"/>
        <family val="2"/>
        <charset val="161"/>
        <scheme val="minor"/>
      </rPr>
      <t>0,93</t>
    </r>
    <r>
      <rPr>
        <i/>
        <sz val="9"/>
        <color theme="7" tint="-0.499984740745262"/>
        <rFont val="Calibri"/>
        <family val="2"/>
        <charset val="161"/>
        <scheme val="minor"/>
      </rPr>
      <t>/0,93]</t>
    </r>
  </si>
  <si>
    <t xml:space="preserve">Συνολικό ποσοστό: </t>
  </si>
  <si>
    <r>
      <t>ισχύς βοηθητικών μονάδων [</t>
    </r>
    <r>
      <rPr>
        <b/>
        <i/>
        <sz val="9"/>
        <color theme="7" tint="-0.499984740745262"/>
        <rFont val="Calibri"/>
        <family val="2"/>
        <charset val="161"/>
        <scheme val="minor"/>
      </rPr>
      <t xml:space="preserve">0,00 </t>
    </r>
    <r>
      <rPr>
        <i/>
        <sz val="9"/>
        <color theme="7" tint="-0.499984740745262"/>
        <rFont val="Calibri"/>
        <family val="2"/>
        <charset val="161"/>
        <scheme val="minor"/>
      </rPr>
      <t>/ 5</t>
    </r>
    <r>
      <rPr>
        <i/>
        <sz val="8"/>
        <color theme="7" tint="-0.499984740745262"/>
        <rFont val="Calibri"/>
        <family val="2"/>
        <charset val="161"/>
        <scheme val="minor"/>
      </rPr>
      <t>W/m2</t>
    </r>
    <r>
      <rPr>
        <i/>
        <sz val="9"/>
        <color theme="7" tint="-0.499984740745262"/>
        <rFont val="Calibri"/>
        <family val="2"/>
        <charset val="161"/>
        <scheme val="minor"/>
      </rPr>
      <t>]</t>
    </r>
  </si>
  <si>
    <r>
      <t>θεωρητικό σύστημα</t>
    </r>
    <r>
      <rPr>
        <sz val="8"/>
        <color theme="7" tint="-0.499984740745262"/>
        <rFont val="Calibri"/>
        <family val="2"/>
        <charset val="161"/>
        <scheme val="minor"/>
      </rPr>
      <t xml:space="preserve"> [κατοικίες/τριτογενής]</t>
    </r>
  </si>
  <si>
    <t>χρήση</t>
  </si>
  <si>
    <t>πόλη</t>
  </si>
  <si>
    <t>κλίση</t>
  </si>
  <si>
    <t>φθορές</t>
  </si>
  <si>
    <r>
      <t>επιφάνεια</t>
    </r>
    <r>
      <rPr>
        <sz val="8"/>
        <color theme="1"/>
        <rFont val="Calibri"/>
        <family val="2"/>
        <charset val="161"/>
        <scheme val="minor"/>
      </rPr>
      <t xml:space="preserve"> τ.μ.</t>
    </r>
  </si>
  <si>
    <t>πόρτες:</t>
  </si>
  <si>
    <r>
      <t xml:space="preserve">Fhor </t>
    </r>
    <r>
      <rPr>
        <sz val="11"/>
        <color theme="1"/>
        <rFont val="Calibri"/>
        <family val="2"/>
        <charset val="161"/>
        <scheme val="minor"/>
      </rPr>
      <t>(απέναντι εμπ.)</t>
    </r>
  </si>
  <si>
    <r>
      <t xml:space="preserve">Fov </t>
    </r>
    <r>
      <rPr>
        <sz val="11"/>
        <color theme="1"/>
        <rFont val="Calibri"/>
        <family val="2"/>
        <charset val="161"/>
        <scheme val="minor"/>
      </rPr>
      <t>(πρόβολος)</t>
    </r>
  </si>
  <si>
    <r>
      <t>Fov</t>
    </r>
    <r>
      <rPr>
        <sz val="11"/>
        <color theme="1"/>
        <rFont val="Calibri"/>
        <family val="2"/>
        <charset val="161"/>
        <scheme val="minor"/>
      </rPr>
      <t>c με τέντα</t>
    </r>
  </si>
  <si>
    <r>
      <rPr>
        <b/>
        <sz val="11"/>
        <color theme="1"/>
        <rFont val="Calibri"/>
        <family val="2"/>
        <charset val="161"/>
        <scheme val="minor"/>
      </rPr>
      <t>Ffin</t>
    </r>
    <r>
      <rPr>
        <sz val="9"/>
        <color theme="1"/>
        <rFont val="Calibri"/>
        <family val="2"/>
        <charset val="161"/>
        <scheme val="minor"/>
      </rPr>
      <t xml:space="preserve"> πλ. </t>
    </r>
    <r>
      <rPr>
        <sz val="11"/>
        <color theme="1"/>
        <rFont val="Calibri"/>
        <family val="2"/>
        <charset val="161"/>
        <scheme val="minor"/>
      </rPr>
      <t>Αριστερά</t>
    </r>
  </si>
  <si>
    <r>
      <rPr>
        <b/>
        <sz val="11"/>
        <color theme="1"/>
        <rFont val="Calibri"/>
        <family val="2"/>
        <charset val="161"/>
        <scheme val="minor"/>
      </rPr>
      <t>Ffin</t>
    </r>
    <r>
      <rPr>
        <sz val="11"/>
        <color theme="1"/>
        <rFont val="Calibri"/>
        <family val="2"/>
        <charset val="161"/>
        <scheme val="minor"/>
      </rPr>
      <t xml:space="preserve"> </t>
    </r>
    <r>
      <rPr>
        <sz val="9"/>
        <color theme="1"/>
        <rFont val="Calibri"/>
        <family val="2"/>
        <charset val="161"/>
        <scheme val="minor"/>
      </rPr>
      <t>πλ.</t>
    </r>
    <r>
      <rPr>
        <sz val="11"/>
        <color theme="1"/>
        <rFont val="Calibri"/>
        <family val="2"/>
        <charset val="161"/>
        <scheme val="minor"/>
      </rPr>
      <t xml:space="preserve"> Δεξιά</t>
    </r>
  </si>
  <si>
    <r>
      <rPr>
        <b/>
        <sz val="11"/>
        <color theme="1"/>
        <rFont val="Calibri"/>
        <family val="2"/>
        <charset val="161"/>
        <scheme val="minor"/>
      </rPr>
      <t>Ffin</t>
    </r>
    <r>
      <rPr>
        <sz val="9"/>
        <color theme="1"/>
        <rFont val="Calibri"/>
        <family val="2"/>
        <charset val="161"/>
        <scheme val="minor"/>
      </rPr>
      <t xml:space="preserve"> πλ. </t>
    </r>
    <r>
      <rPr>
        <sz val="11"/>
        <color theme="1"/>
        <rFont val="Calibri"/>
        <family val="2"/>
        <charset val="161"/>
        <scheme val="minor"/>
      </rPr>
      <t>αριστερά</t>
    </r>
  </si>
  <si>
    <r>
      <rPr>
        <b/>
        <sz val="11"/>
        <color theme="1"/>
        <rFont val="Calibri"/>
        <family val="2"/>
        <charset val="161"/>
        <scheme val="minor"/>
      </rPr>
      <t>Ffin</t>
    </r>
    <r>
      <rPr>
        <sz val="11"/>
        <color theme="1"/>
        <rFont val="Calibri"/>
        <family val="2"/>
        <charset val="161"/>
        <scheme val="minor"/>
      </rPr>
      <t xml:space="preserve"> </t>
    </r>
    <r>
      <rPr>
        <sz val="9"/>
        <color theme="1"/>
        <rFont val="Calibri"/>
        <family val="2"/>
        <charset val="161"/>
        <scheme val="minor"/>
      </rPr>
      <t>πλ.</t>
    </r>
    <r>
      <rPr>
        <sz val="11"/>
        <color theme="1"/>
        <rFont val="Calibri"/>
        <family val="2"/>
        <charset val="161"/>
        <scheme val="minor"/>
      </rPr>
      <t xml:space="preserve"> δεξιά</t>
    </r>
  </si>
  <si>
    <t>εξωτ. διαστάσεις:</t>
  </si>
  <si>
    <t>αριθμ. υαλοπίν.:</t>
  </si>
  <si>
    <t>Χ διαστ.:</t>
  </si>
  <si>
    <t>Uv_F  Aναλυτικά</t>
  </si>
  <si>
    <t>εμβαδον ανοιγματος</t>
  </si>
  <si>
    <t>εμβαδον υαλοπινακων</t>
  </si>
  <si>
    <t>μηκος επαφης τζαμιου-πλασιου</t>
  </si>
  <si>
    <t>εμβαδον πλαισιου</t>
  </si>
  <si>
    <t>ποσοστο πλασιου (%)</t>
  </si>
  <si>
    <r>
      <t>&lt;</t>
    </r>
    <r>
      <rPr>
        <b/>
        <sz val="9"/>
        <color theme="0"/>
        <rFont val="Calibri"/>
        <family val="2"/>
        <charset val="161"/>
        <scheme val="minor"/>
      </rPr>
      <t xml:space="preserve"> </t>
    </r>
    <r>
      <rPr>
        <sz val="8"/>
        <color theme="0"/>
        <rFont val="Calibri"/>
        <family val="2"/>
        <charset val="161"/>
        <scheme val="minor"/>
      </rPr>
      <t>συντ.</t>
    </r>
    <r>
      <rPr>
        <b/>
        <sz val="9"/>
        <color theme="0"/>
        <rFont val="Calibri"/>
        <family val="2"/>
        <charset val="161"/>
        <scheme val="minor"/>
      </rPr>
      <t>U</t>
    </r>
  </si>
  <si>
    <t>κτιριακη μοναδα</t>
  </si>
  <si>
    <t>Συνολική επιφάνεια κατοικιών</t>
  </si>
  <si>
    <r>
      <rPr>
        <b/>
        <sz val="12"/>
        <color rgb="FF002060"/>
        <rFont val="Calibri"/>
        <family val="2"/>
        <charset val="161"/>
        <scheme val="minor"/>
      </rPr>
      <t>E</t>
    </r>
    <r>
      <rPr>
        <b/>
        <sz val="10"/>
        <color rgb="FF002060"/>
        <rFont val="Calibri"/>
        <family val="2"/>
        <charset val="161"/>
        <scheme val="minor"/>
      </rPr>
      <t xml:space="preserve">nergy </t>
    </r>
    <r>
      <rPr>
        <b/>
        <sz val="12"/>
        <color rgb="FF002060"/>
        <rFont val="Calibri"/>
        <family val="2"/>
        <charset val="161"/>
        <scheme val="minor"/>
      </rPr>
      <t>C</t>
    </r>
    <r>
      <rPr>
        <b/>
        <sz val="10"/>
        <color rgb="FF002060"/>
        <rFont val="Calibri"/>
        <family val="2"/>
        <charset val="161"/>
        <scheme val="minor"/>
      </rPr>
      <t xml:space="preserve">ert. </t>
    </r>
    <r>
      <rPr>
        <b/>
        <sz val="12"/>
        <color rgb="FF002060"/>
        <rFont val="Calibri"/>
        <family val="2"/>
        <charset val="161"/>
        <scheme val="minor"/>
      </rPr>
      <t>A</t>
    </r>
    <r>
      <rPr>
        <b/>
        <sz val="10"/>
        <color rgb="FF002060"/>
        <rFont val="Calibri"/>
        <family val="2"/>
        <charset val="161"/>
        <scheme val="minor"/>
      </rPr>
      <t>dapt</t>
    </r>
    <r>
      <rPr>
        <sz val="10"/>
        <color rgb="FF002060"/>
        <rFont val="Calibri"/>
        <family val="2"/>
        <charset val="161"/>
        <scheme val="minor"/>
      </rPr>
      <t xml:space="preserve">  </t>
    </r>
    <r>
      <rPr>
        <sz val="9"/>
        <color rgb="FF002060"/>
        <rFont val="Calibri"/>
        <family val="2"/>
        <charset val="161"/>
        <scheme val="minor"/>
      </rPr>
      <t>ver.5.00</t>
    </r>
  </si>
  <si>
    <t>www.gzafeirakis.gr | ©2019</t>
  </si>
  <si>
    <t>εως 2</t>
  </si>
  <si>
    <t>2&lt;ορ.&lt;5</t>
  </si>
  <si>
    <t>προ 1980</t>
  </si>
  <si>
    <t>80 εως 99</t>
  </si>
  <si>
    <t>20(%)</t>
  </si>
  <si>
    <t>23(%)</t>
  </si>
  <si>
    <t>28(%)</t>
  </si>
  <si>
    <t>Ανοιγόμενο κούφωμα</t>
  </si>
  <si>
    <t>Τοίχος</t>
  </si>
  <si>
    <r>
      <t xml:space="preserve">σύμφωνα με την </t>
    </r>
    <r>
      <rPr>
        <b/>
        <sz val="7"/>
        <color rgb="FF002060"/>
        <rFont val="Calibri"/>
        <family val="2"/>
        <charset val="161"/>
        <scheme val="minor"/>
      </rPr>
      <t>TOTEE-20701-1 / 2017</t>
    </r>
  </si>
  <si>
    <r>
      <rPr>
        <b/>
        <sz val="10"/>
        <color theme="1" tint="0.249977111117893"/>
        <rFont val="Calibri"/>
        <family val="2"/>
        <charset val="161"/>
        <scheme val="minor"/>
      </rPr>
      <t xml:space="preserve">ΓΕΝΙΚΕΣ ΟΔΗΓΙΕΣ - ΠΑΡΑΤΗΡΗΣΕΙΣ </t>
    </r>
    <r>
      <rPr>
        <sz val="9"/>
        <color theme="1" tint="0.249977111117893"/>
        <rFont val="Calibri"/>
        <family val="2"/>
        <charset val="161"/>
        <scheme val="minor"/>
      </rPr>
      <t>(download ΓΕΝΙΚΕΣ ΟΔΗΓΙΕΣ ΧΡΗΣΗΣ.pdf)
   Για τους συντελεστές σκίασης πραγματοποιείται αυτόματα</t>
    </r>
    <r>
      <rPr>
        <b/>
        <sz val="9"/>
        <color theme="1" tint="0.249977111117893"/>
        <rFont val="Calibri"/>
        <family val="2"/>
        <charset val="161"/>
        <scheme val="minor"/>
      </rPr>
      <t xml:space="preserve"> γραμμική παρεμβολή </t>
    </r>
    <r>
      <rPr>
        <sz val="9"/>
        <color theme="1" tint="0.249977111117893"/>
        <rFont val="Calibri"/>
        <family val="2"/>
        <charset val="161"/>
        <scheme val="minor"/>
      </rPr>
      <t xml:space="preserve">ως προς τις γωνίες σκίασης και τον προσανατολισμό, σύμφωνα με την  ΤΟΤΕΕ-20701-1/2017 και τους πίνακες που περιλαμβάνει (ακρίβεια λόγο στρογγυλοποιήσεων </t>
    </r>
    <r>
      <rPr>
        <sz val="9"/>
        <color theme="1" tint="0.249977111117893"/>
        <rFont val="Calibri"/>
        <family val="2"/>
        <charset val="161"/>
      </rPr>
      <t>±</t>
    </r>
    <r>
      <rPr>
        <sz val="9"/>
        <color theme="1" tint="0.249977111117893"/>
        <rFont val="Calibri"/>
        <family val="2"/>
        <charset val="161"/>
        <scheme val="minor"/>
      </rPr>
      <t xml:space="preserve">0,01). 
   Στα κελιά με </t>
    </r>
    <r>
      <rPr>
        <b/>
        <sz val="9"/>
        <rFont val="Calibri"/>
        <family val="2"/>
        <charset val="161"/>
        <scheme val="minor"/>
      </rPr>
      <t>κόκκινη ένδειξη</t>
    </r>
    <r>
      <rPr>
        <sz val="9"/>
        <color theme="1" tint="0.249977111117893"/>
        <rFont val="Calibri"/>
        <family val="2"/>
        <charset val="161"/>
        <scheme val="minor"/>
      </rPr>
      <t xml:space="preserve">, με την τοποθέτηση του κέρσορα εμφανίζεται </t>
    </r>
    <r>
      <rPr>
        <b/>
        <sz val="9"/>
        <color theme="1" tint="0.249977111117893"/>
        <rFont val="Calibri"/>
        <family val="2"/>
        <charset val="161"/>
        <scheme val="minor"/>
      </rPr>
      <t xml:space="preserve">μήνυμα - σχόλιο </t>
    </r>
    <r>
      <rPr>
        <sz val="9"/>
        <color theme="1" tint="0.249977111117893"/>
        <rFont val="Calibri"/>
        <family val="2"/>
        <charset val="161"/>
        <scheme val="minor"/>
      </rPr>
      <t xml:space="preserve">με τις τιμές που μπορούν να εισαχθούν σύμφωνα με την ΤΟΤΕΕ-20701-1/2017, στο αντίστοιχο πεδίο. 
   Σε περίπτωση που κάποια αυτόματα υπολογισμένη τιμή </t>
    </r>
    <r>
      <rPr>
        <b/>
        <sz val="9"/>
        <color theme="1" tint="0.249977111117893"/>
        <rFont val="Calibri"/>
        <family val="2"/>
        <charset val="161"/>
        <scheme val="minor"/>
      </rPr>
      <t>δεν ικανοποιεί τους κανονισμούς</t>
    </r>
    <r>
      <rPr>
        <sz val="9"/>
        <color theme="1" tint="0.249977111117893"/>
        <rFont val="Calibri"/>
        <family val="2"/>
        <charset val="161"/>
        <scheme val="minor"/>
      </rPr>
      <t xml:space="preserve">, τότε πατώντας πάνω στο κελί, εισάγετε την σωστή τιμή (μη αυτόματος υπολογισμός για λιγότερο συνήθεις περιπτώσεις που δεν έχουν αυτοματοποιηθεί - προγραμματιστεί).
   Για </t>
    </r>
    <r>
      <rPr>
        <b/>
        <sz val="9"/>
        <color theme="1" tint="0.249977111117893"/>
        <rFont val="Calibri"/>
        <family val="2"/>
        <charset val="161"/>
        <scheme val="minor"/>
      </rPr>
      <t>επιπλέον αδιαφανή ή διαφανή στοιχεία</t>
    </r>
    <r>
      <rPr>
        <sz val="9"/>
        <color theme="1" tint="0.249977111117893"/>
        <rFont val="Calibri"/>
        <family val="2"/>
        <charset val="161"/>
        <scheme val="minor"/>
      </rPr>
      <t xml:space="preserve">, εισάγετε αντίστοιχο αριθμό γραμμών εντος του πίνακα, κάντε κλικ στον αριθμό της προηγούμενης τελευταίας γραμμής, τοποθετήστε τον κέρσορα και κάντε κλικ στο μαύρο κουτί που εμφανίζεται κάτω δεξιά του αριθμού της γραμμής και κρατώντας πατημένο το μαύρο κουτί, σύρετε προς τα κάτω και σε όλες τις νέες γραμμές προκειμένου να αντιγραφούν οι συναρτήσεις. Τελος, Διορθώστε την αρίθμηση των στοιχείων στην πρώτη στήλη (δείτε αναλυτικά την διαδικασία στο τεύχος ΓΕΝΙΚΕΣ ΟΔΗΓΙΕΣ ΧΡΗΣΗΣ, σελ.11).
   Εάν εξετάζεται </t>
    </r>
    <r>
      <rPr>
        <b/>
        <sz val="9"/>
        <color theme="1" tint="0.249977111117893"/>
        <rFont val="Calibri"/>
        <family val="2"/>
        <charset val="161"/>
        <scheme val="minor"/>
      </rPr>
      <t xml:space="preserve">ολόκληρο το κτίριο </t>
    </r>
    <r>
      <rPr>
        <sz val="9"/>
        <color theme="1" tint="0.249977111117893"/>
        <rFont val="Calibri"/>
        <family val="2"/>
        <charset val="161"/>
        <scheme val="minor"/>
      </rPr>
      <t xml:space="preserve">και υπάρχουν </t>
    </r>
    <r>
      <rPr>
        <b/>
        <sz val="9"/>
        <color theme="1" tint="0.249977111117893"/>
        <rFont val="Calibri"/>
        <family val="2"/>
        <charset val="161"/>
        <scheme val="minor"/>
      </rPr>
      <t>μη θερμαινόμενοι χώροι</t>
    </r>
    <r>
      <rPr>
        <sz val="9"/>
        <color theme="1" tint="0.249977111117893"/>
        <rFont val="Calibri"/>
        <family val="2"/>
        <charset val="161"/>
        <scheme val="minor"/>
      </rPr>
      <t xml:space="preserve">, εισάγετε τις διαφανείς και αδιαφανείς εξωτερικές επιφάνειες του μη θερμαινόμενου χώρου και τις διαχωριστικές επιφάνειες στον ίδιο πίνακα με κατάλληλη περιγραφή. Κατα την αντιγραφή των στοιχείων στο λογισμικό του ΤΕΕ, τοποθετήστε τις τιμές στις αντίστοιχες καρτέλες.
   Οι επιφάνειες </t>
    </r>
    <r>
      <rPr>
        <b/>
        <sz val="9"/>
        <color theme="1" tint="0.249977111117893"/>
        <rFont val="Calibri"/>
        <family val="2"/>
        <charset val="161"/>
        <scheme val="minor"/>
      </rPr>
      <t xml:space="preserve">σε επαφή με το έδαφος </t>
    </r>
    <r>
      <rPr>
        <sz val="9"/>
        <color theme="1" tint="0.249977111117893"/>
        <rFont val="Calibri"/>
        <family val="2"/>
        <charset val="161"/>
        <scheme val="minor"/>
      </rPr>
      <t xml:space="preserve">εισάγονται απευθείας στο λογισμικό ΤΕΕ (δεν απαιτούνται υπολογισμοί παρά μόνο τα γεωμετρικά στοιχεία από το σκαρίφημα του κελύφους και το U).
   Εάν δώσουμε </t>
    </r>
    <r>
      <rPr>
        <b/>
        <sz val="9"/>
        <color theme="1" tint="0.249977111117893"/>
        <rFont val="Calibri"/>
        <family val="2"/>
        <charset val="161"/>
        <scheme val="minor"/>
      </rPr>
      <t>αρνητικό μήκος σε μια αδιαφανή επιφάνεια</t>
    </r>
    <r>
      <rPr>
        <sz val="9"/>
        <color theme="1" tint="0.249977111117893"/>
        <rFont val="Calibri"/>
        <family val="2"/>
        <charset val="161"/>
        <scheme val="minor"/>
      </rPr>
      <t xml:space="preserve"> και εξετάζουμε κτιριακή μονάδα, τότε θεωρείτε επιφάνεια προς μη θερμαινόμενο χώρο, μειώνετε το U κατά 50% και μηδενίζονται οι συντελεστές σκίασης (πλήρης σκιά). Εάν εξετάζουμε ολόκληρο το κτίριο, τότε θεωρείτε διαχωριστική επιφάνεια και μηδενίζονται οι συντελεστές σκίασης.
   Εάν δώσουμε </t>
    </r>
    <r>
      <rPr>
        <b/>
        <sz val="9"/>
        <color theme="1" tint="0.249977111117893"/>
        <rFont val="Calibri"/>
        <family val="2"/>
        <charset val="161"/>
        <scheme val="minor"/>
      </rPr>
      <t>αρνητικό μήκος σε μια διαφανής επιφάνεια</t>
    </r>
    <r>
      <rPr>
        <sz val="9"/>
        <color theme="1" tint="0.249977111117893"/>
        <rFont val="Calibri"/>
        <family val="2"/>
        <charset val="161"/>
        <scheme val="minor"/>
      </rPr>
      <t xml:space="preserve">, τότε μηδενίζονται οι συντελεστές σκίασης (πχ παράθυρο σε φωταγωγό ή προς μη θερμαινόμενο χώρο).
   Όταν είναι </t>
    </r>
    <r>
      <rPr>
        <b/>
        <sz val="9"/>
        <color theme="1" tint="0.249977111117893"/>
        <rFont val="Calibri"/>
        <family val="2"/>
        <charset val="161"/>
        <scheme val="minor"/>
      </rPr>
      <t>γνωστός ο συντελεστής θερμοπερατότητας U</t>
    </r>
    <r>
      <rPr>
        <sz val="9"/>
        <color theme="1" tint="0.249977111117893"/>
        <rFont val="Calibri"/>
        <family val="2"/>
        <charset val="161"/>
        <scheme val="minor"/>
      </rPr>
      <t xml:space="preserve"> μιας επιφάνειας (πχ από μελέτη ΚΘΚ) ή όταν χρησιμοποιούμε τον μέγιστο επιτρεπόμενο, τότε εισάγουμε την τιμή απευθείας στην στήλη Uτ (και αφήνουμε κενό το κελί του %betton και το U</t>
    </r>
    <r>
      <rPr>
        <sz val="8"/>
        <color theme="1" tint="0.249977111117893"/>
        <rFont val="Calibri"/>
        <family val="2"/>
        <charset val="161"/>
        <scheme val="minor"/>
      </rPr>
      <t>b</t>
    </r>
    <r>
      <rPr>
        <sz val="9"/>
        <color theme="1" tint="0.249977111117893"/>
        <rFont val="Calibri"/>
        <family val="2"/>
        <charset val="161"/>
        <scheme val="minor"/>
      </rPr>
      <t>).
  Εάν υπάρχει</t>
    </r>
    <r>
      <rPr>
        <b/>
        <sz val="9"/>
        <color theme="1" tint="0.249977111117893"/>
        <rFont val="Calibri"/>
        <family val="2"/>
        <charset val="161"/>
        <scheme val="minor"/>
      </rPr>
      <t xml:space="preserve"> τέντα</t>
    </r>
    <r>
      <rPr>
        <sz val="9"/>
        <color theme="1" tint="0.249977111117893"/>
        <rFont val="Calibri"/>
        <family val="2"/>
        <charset val="161"/>
        <scheme val="minor"/>
      </rPr>
      <t xml:space="preserve"> μπροστά από κάποια επιφάνεια, τότε εισάγουμε το καθαρό ελεύθερο ύψος</t>
    </r>
    <r>
      <rPr>
        <b/>
        <sz val="9"/>
        <color theme="1" tint="0.249977111117893"/>
        <rFont val="Calibri"/>
        <family val="2"/>
        <charset val="161"/>
        <scheme val="minor"/>
      </rPr>
      <t xml:space="preserve"> H2</t>
    </r>
    <r>
      <rPr>
        <sz val="9"/>
        <color theme="1" tint="0.249977111117893"/>
        <rFont val="Calibri"/>
        <family val="2"/>
        <charset val="161"/>
        <scheme val="minor"/>
      </rPr>
      <t xml:space="preserve"> όταν η τέντα είναι κατεβασμένη, την κάθετη απόσταση</t>
    </r>
    <r>
      <rPr>
        <b/>
        <sz val="9"/>
        <color theme="1" tint="0.249977111117893"/>
        <rFont val="Calibri"/>
        <family val="2"/>
        <charset val="161"/>
        <scheme val="minor"/>
      </rPr>
      <t xml:space="preserve"> L2</t>
    </r>
    <r>
      <rPr>
        <sz val="9"/>
        <color theme="1" tint="0.249977111117893"/>
        <rFont val="Calibri"/>
        <family val="2"/>
        <charset val="161"/>
        <scheme val="minor"/>
      </rPr>
      <t xml:space="preserve"> μέχρι την επιφάνεια και το ημιση του καθαρου υψους </t>
    </r>
    <r>
      <rPr>
        <b/>
        <sz val="9"/>
        <color theme="1" tint="0.249977111117893"/>
        <rFont val="Calibri"/>
        <family val="2"/>
        <charset val="161"/>
        <scheme val="minor"/>
      </rPr>
      <t>Ηκαθ/2</t>
    </r>
    <r>
      <rPr>
        <sz val="9"/>
        <color theme="1" tint="0.249977111117893"/>
        <rFont val="Calibri"/>
        <family val="2"/>
        <charset val="161"/>
        <scheme val="minor"/>
      </rPr>
      <t xml:space="preserve"> στην στηλη του Fov, έτσι ώστε να υπολογιστεί ο συντελεστής Fovc με αυτή την γωνία. Εάν η γωνία προκύψει </t>
    </r>
    <r>
      <rPr>
        <b/>
        <sz val="9"/>
        <color theme="1" tint="0.249977111117893"/>
        <rFont val="Calibri"/>
        <family val="2"/>
        <charset val="161"/>
        <scheme val="minor"/>
      </rPr>
      <t>μεγαλύτερη από 90</t>
    </r>
    <r>
      <rPr>
        <b/>
        <vertAlign val="superscript"/>
        <sz val="9"/>
        <color theme="1" tint="0.249977111117893"/>
        <rFont val="Calibri"/>
        <family val="2"/>
        <charset val="161"/>
        <scheme val="minor"/>
      </rPr>
      <t>ο</t>
    </r>
    <r>
      <rPr>
        <sz val="9"/>
        <color theme="1" tint="0.249977111117893"/>
        <rFont val="Calibri"/>
        <family val="2"/>
        <charset val="161"/>
        <scheme val="minor"/>
      </rPr>
      <t xml:space="preserve">, τότε λαμβάνετε ο  μικρότερος συντελεστής.
  </t>
    </r>
  </si>
  <si>
    <t>[προ '80:ΟΧΙ, μετα '80:ΝΑΙ ή πιν.3.7 σελ.62]</t>
  </si>
  <si>
    <t>τύπος</t>
  </si>
  <si>
    <t>Οροφή</t>
  </si>
  <si>
    <t>Πυλωτή</t>
  </si>
  <si>
    <t>Πόρτα</t>
  </si>
  <si>
    <t>Μεσοτοιχία</t>
  </si>
  <si>
    <t>ε</t>
  </si>
  <si>
    <t>a</t>
  </si>
  <si>
    <t>Τύπος Ανοίγματος</t>
  </si>
  <si>
    <r>
      <t>U</t>
    </r>
    <r>
      <rPr>
        <sz val="8"/>
        <color theme="5" tint="-0.499984740745262"/>
        <rFont val="Calibri"/>
        <family val="2"/>
        <charset val="161"/>
        <scheme val="minor"/>
      </rPr>
      <t>v_F</t>
    </r>
  </si>
  <si>
    <r>
      <t>g</t>
    </r>
    <r>
      <rPr>
        <sz val="8"/>
        <color theme="5" tint="-0.499984740745262"/>
        <rFont val="Calibri"/>
        <family val="2"/>
        <charset val="161"/>
        <scheme val="minor"/>
      </rPr>
      <t>_w</t>
    </r>
  </si>
  <si>
    <t>Απορροφητικότητα a</t>
  </si>
  <si>
    <t>Περιγραφή επιφάνειας</t>
  </si>
  <si>
    <t>επιχρισμα λευκο, λεια επιφανεια (σπατουλαριστο)-0,30</t>
  </si>
  <si>
    <t>επιχρισμα ανοιχτοχρωμο (ανοικτο γκρι,μπεζ,κιτρινο,ροζ ή γαλαζιο-0,40</t>
  </si>
  <si>
    <t>επιχρισμα μετριας αποχρωσης (γκρι, μπεζ, σκουρα ωχρα,σομον)-0,60</t>
  </si>
  <si>
    <t>επιχρισμα σκουροχρωμο (σκουρο λαδι, καφε, γκρι)-0,80</t>
  </si>
  <si>
    <t>εμφανης οπτοπλινθοδομη ή λιθοδομη-0,80</t>
  </si>
  <si>
    <t>εμφανης ανοικτοχρωμη οπτοπλινθοδομη ή λιθοδομη-0,60</t>
  </si>
  <si>
    <t>στιλπνες μεταλλικες επιφανειες (πχ φυλλα αλουμινιου)-0,20</t>
  </si>
  <si>
    <t>αδιαφανες τμημα γυαλινης προσοψης (πχ πανελ με επικαλυψη γυαλιου)-0,60</t>
  </si>
  <si>
    <t>φυτεμενη οψη (με αειθαλη φυτα)-0,70</t>
  </si>
  <si>
    <t>Κατακόρυφα δομικά στοιχεία</t>
  </si>
  <si>
    <t>οριζόντια δομικά στοιχεία</t>
  </si>
  <si>
    <t>κοκκινο κεραμιδι-0,60</t>
  </si>
  <si>
    <t>πολύ σκουρες επιστρωσεις στεγων ή δωματων (ασφαλτοπανα)-0,90</t>
  </si>
  <si>
    <t>σκουρες επιστρωσεις στεγων ή δωματων (σχιστολιθικες πλακες,ασφαλτικα κερ)-0,80</t>
  </si>
  <si>
    <t>ανοιχτοχρωμες επιστρωσεις στεγων ή δωματων (πλακες πεζοδρομιου,ασφαλτ)-0,65</t>
  </si>
  <si>
    <t>στιλπες μεταλλικες επιφανειες (πχ ανακλαστικες μεμβρανες)-0,20</t>
  </si>
  <si>
    <t>γαρμπιλι-0,30</t>
  </si>
  <si>
    <t>φυτεμενο δωμα-0,70</t>
  </si>
  <si>
    <t>συνηθες δομικο υλικο-0,80</t>
  </si>
  <si>
    <t>γυαλι-0,90</t>
  </si>
  <si>
    <t>στιλπνες μεταλλικες επιφανειες-0,20</t>
  </si>
  <si>
    <t>φυτεμενο δωμα ή φυτεμενη οψη με αειθαλη-0,80</t>
  </si>
  <si>
    <r>
      <t xml:space="preserve">2. ΑΔΙΑΦΑΝΕΙΣ ΕΠΙΦΑΝΕΙΕΣ  </t>
    </r>
    <r>
      <rPr>
        <sz val="9"/>
        <color theme="1"/>
        <rFont val="Calibri"/>
        <family val="2"/>
        <charset val="161"/>
        <scheme val="minor"/>
      </rPr>
      <t>[και μη θερμ. χώρων/διαχωρ. επιφαν.]</t>
    </r>
  </si>
  <si>
    <r>
      <t xml:space="preserve">3. ΔΙΑΦΑΝΕΙΣ ΕΠΙΦΑΝΕΙΕΣ  </t>
    </r>
    <r>
      <rPr>
        <sz val="9"/>
        <color theme="1"/>
        <rFont val="Calibri"/>
        <family val="2"/>
        <charset val="161"/>
        <scheme val="minor"/>
      </rPr>
      <t>[και μη θερμ. χώρων/διαχωρ. επιφαν.]</t>
    </r>
  </si>
  <si>
    <t>Μη ανοιγόμενο κούφωμα</t>
  </si>
  <si>
    <t>Ανοιγόμενη πρόσοψη</t>
  </si>
  <si>
    <t>Μη ανοιγόμενη πρόσοψη</t>
  </si>
  <si>
    <t>Τύπος</t>
  </si>
  <si>
    <t>τύπος εξωτερικής προστασίας</t>
  </si>
  <si>
    <t>τύπος πλαισίου</t>
  </si>
  <si>
    <t>ποσοστό πλαισίου</t>
  </si>
  <si>
    <t>τύπος υαλοπίνακα</t>
  </si>
  <si>
    <t>Τύπος ανοίγματος</t>
  </si>
  <si>
    <t>Χωρις προστατευτικα φυλλα</t>
  </si>
  <si>
    <t>Με ρολα</t>
  </si>
  <si>
    <t>Με εξωφυλλα</t>
  </si>
  <si>
    <r>
      <t>γ</t>
    </r>
    <r>
      <rPr>
        <b/>
        <sz val="9"/>
        <color theme="5" tint="-0.499984740745262"/>
        <rFont val="Calibri"/>
        <family val="2"/>
        <charset val="161"/>
        <scheme val="minor"/>
      </rPr>
      <t>(deg)</t>
    </r>
  </si>
  <si>
    <r>
      <t>β</t>
    </r>
    <r>
      <rPr>
        <b/>
        <sz val="9"/>
        <color theme="5" tint="-0.499984740745262"/>
        <rFont val="Calibri"/>
        <family val="2"/>
        <charset val="161"/>
        <scheme val="minor"/>
      </rPr>
      <t>(deg)</t>
    </r>
  </si>
  <si>
    <r>
      <t>ΕΜΒ</t>
    </r>
    <r>
      <rPr>
        <b/>
        <sz val="9"/>
        <color theme="5" tint="-0.499984740745262"/>
        <rFont val="Calibri"/>
        <family val="2"/>
        <charset val="161"/>
        <scheme val="minor"/>
      </rPr>
      <t>κ</t>
    </r>
  </si>
  <si>
    <t>μεταλλικο χωρις θ.δ. 20</t>
  </si>
  <si>
    <t>μεταλλικο χωρις θ.δ. 30</t>
  </si>
  <si>
    <t>μεταλλικο χωρις θ.δ. 40</t>
  </si>
  <si>
    <t>ΧΩΡΙΣ ΠΡΟΣΤΑΤΕΥΤΙΚΑ ΦΥΛΛΑ</t>
  </si>
  <si>
    <t>μεταλλικο με θ.δ. 12mm 20</t>
  </si>
  <si>
    <t>μεταλλικο με θ.δ. 12mm 30</t>
  </si>
  <si>
    <t>μεταλλικο με θ.δ. 12mm 40</t>
  </si>
  <si>
    <t>μεταλλικο με θ.δ. 24mm 20</t>
  </si>
  <si>
    <t>μεταλλικο με θ.δ. 24mm 30</t>
  </si>
  <si>
    <t>μεταλλικο με θ.δ. 24mm 40</t>
  </si>
  <si>
    <t>συνθετικο 20</t>
  </si>
  <si>
    <t>συνθετικο 30</t>
  </si>
  <si>
    <t>συνθετικο 40</t>
  </si>
  <si>
    <t>ξυλινο 20</t>
  </si>
  <si>
    <t>ξυλινο 30</t>
  </si>
  <si>
    <t>ξυλινο 40</t>
  </si>
  <si>
    <t>διπλο κουφωμα (ξυλινο) 20</t>
  </si>
  <si>
    <t>διπλο κουφωμα (ξυλινο) 30</t>
  </si>
  <si>
    <t>διπλο κουφωμα (ξυλινο) 40</t>
  </si>
  <si>
    <t>διπλο κουφωμα (αλουμινιου) 20</t>
  </si>
  <si>
    <t>διπλο κουφωμα (αλουμινιου) 30</t>
  </si>
  <si>
    <t>διπλο κουφωμα (αλουμινιου) 40</t>
  </si>
  <si>
    <t>ΜΕ ΡΟΛΛΑ</t>
  </si>
  <si>
    <t>ΜΕ ΕΞΩΦΥΛΛΑ</t>
  </si>
  <si>
    <t>Διπλο παραθυρο</t>
  </si>
  <si>
    <t>Εχρωμος ή ανακλαστικος υαλοπ. χωρις διαπιστωση ιδιοτητων του</t>
  </si>
  <si>
    <r>
      <t>F</t>
    </r>
    <r>
      <rPr>
        <b/>
        <sz val="9"/>
        <color theme="5" tint="-0.499984740745262"/>
        <rFont val="Calibri"/>
        <family val="2"/>
        <charset val="161"/>
        <scheme val="minor"/>
      </rPr>
      <t>horh</t>
    </r>
  </si>
  <si>
    <r>
      <t>F</t>
    </r>
    <r>
      <rPr>
        <b/>
        <sz val="9"/>
        <color theme="5" tint="-0.499984740745262"/>
        <rFont val="Calibri"/>
        <family val="2"/>
        <charset val="161"/>
        <scheme val="minor"/>
      </rPr>
      <t>horc</t>
    </r>
  </si>
  <si>
    <r>
      <t>F</t>
    </r>
    <r>
      <rPr>
        <b/>
        <sz val="9"/>
        <color theme="5" tint="-0.499984740745262"/>
        <rFont val="Calibri"/>
        <family val="2"/>
        <charset val="161"/>
        <scheme val="minor"/>
      </rPr>
      <t>ovh</t>
    </r>
  </si>
  <si>
    <r>
      <t>F</t>
    </r>
    <r>
      <rPr>
        <b/>
        <sz val="9"/>
        <color theme="5" tint="-0.499984740745262"/>
        <rFont val="Calibri"/>
        <family val="2"/>
        <charset val="161"/>
        <scheme val="minor"/>
      </rPr>
      <t>ovc</t>
    </r>
  </si>
  <si>
    <r>
      <t>F</t>
    </r>
    <r>
      <rPr>
        <b/>
        <sz val="9"/>
        <color theme="5" tint="-0.499984740745262"/>
        <rFont val="Calibri"/>
        <family val="2"/>
        <charset val="161"/>
        <scheme val="minor"/>
      </rPr>
      <t>finh</t>
    </r>
  </si>
  <si>
    <r>
      <t>F</t>
    </r>
    <r>
      <rPr>
        <b/>
        <sz val="9"/>
        <color theme="5" tint="-0.499984740745262"/>
        <rFont val="Calibri"/>
        <family val="2"/>
        <charset val="161"/>
        <scheme val="minor"/>
      </rPr>
      <t>finc</t>
    </r>
  </si>
  <si>
    <t>Επιφ. θερμεν. καταστημάτων</t>
  </si>
  <si>
    <r>
      <t>προσοψη με μονο υαλοπ. χωρις πλαισιο: g_w = 0,77 (U</t>
    </r>
    <r>
      <rPr>
        <i/>
        <sz val="6"/>
        <color theme="1"/>
        <rFont val="Calibri"/>
        <family val="2"/>
        <charset val="161"/>
        <scheme val="minor"/>
      </rPr>
      <t>v_F</t>
    </r>
    <r>
      <rPr>
        <i/>
        <sz val="9"/>
        <color theme="1"/>
        <rFont val="Calibri"/>
        <family val="2"/>
        <charset val="161"/>
        <scheme val="minor"/>
      </rPr>
      <t xml:space="preserve"> = 5,70)</t>
    </r>
  </si>
  <si>
    <r>
      <t>αδιαφανεις υαλοπινακες: g</t>
    </r>
    <r>
      <rPr>
        <i/>
        <sz val="8"/>
        <color theme="1"/>
        <rFont val="Calibri"/>
        <family val="2"/>
        <charset val="161"/>
        <scheme val="minor"/>
      </rPr>
      <t>_w</t>
    </r>
    <r>
      <rPr>
        <i/>
        <sz val="9"/>
        <color theme="1"/>
        <rFont val="Calibri"/>
        <family val="2"/>
        <charset val="161"/>
        <scheme val="minor"/>
      </rPr>
      <t xml:space="preserve"> = 0</t>
    </r>
  </si>
  <si>
    <r>
      <t>υαλοτουβλα χωρις πλαισιο: g</t>
    </r>
    <r>
      <rPr>
        <i/>
        <sz val="8"/>
        <color theme="1"/>
        <rFont val="Calibri"/>
        <family val="2"/>
        <charset val="161"/>
        <scheme val="minor"/>
      </rPr>
      <t>_w</t>
    </r>
    <r>
      <rPr>
        <i/>
        <sz val="9"/>
        <color theme="1"/>
        <rFont val="Calibri"/>
        <family val="2"/>
        <charset val="161"/>
        <scheme val="minor"/>
      </rPr>
      <t xml:space="preserve"> = 0,27 (U</t>
    </r>
    <r>
      <rPr>
        <i/>
        <sz val="6"/>
        <color theme="1"/>
        <rFont val="Calibri"/>
        <family val="2"/>
        <charset val="161"/>
        <scheme val="minor"/>
      </rPr>
      <t>v_F</t>
    </r>
    <r>
      <rPr>
        <i/>
        <sz val="9"/>
        <color theme="1"/>
        <rFont val="Calibri"/>
        <family val="2"/>
        <charset val="161"/>
        <scheme val="minor"/>
      </rPr>
      <t xml:space="preserve"> = 3,50)</t>
    </r>
  </si>
  <si>
    <t>Περιπτωσεις απευθειας εισαγωγης στο αντιστοιχο κελι</t>
  </si>
  <si>
    <t>g_w : τυπος / ποσοστο</t>
  </si>
  <si>
    <t xml:space="preserve"> Ο χρήστης έχει την αποκλειστική ευθύνη της ορθότητας των υπολογισμών και των τιμών, καθώς επίσης και της τήρησης των οδηγιών Τ.Ο.Τ.Ε.Ε.</t>
  </si>
  <si>
    <r>
      <t xml:space="preserve">Επιλεγουμε με πλαισιο την περιοχη με τα δεδομενα (από την στηλη </t>
    </r>
    <r>
      <rPr>
        <b/>
        <sz val="11"/>
        <color theme="5" tint="-0.499984740745262"/>
        <rFont val="Calibri"/>
        <family val="2"/>
        <charset val="161"/>
        <scheme val="minor"/>
      </rPr>
      <t>τυπος</t>
    </r>
    <r>
      <rPr>
        <sz val="11"/>
        <color theme="1"/>
        <rFont val="Calibri"/>
        <family val="2"/>
        <charset val="161"/>
        <scheme val="minor"/>
      </rPr>
      <t xml:space="preserve"> μεχρι την στηλη </t>
    </r>
    <r>
      <rPr>
        <b/>
        <sz val="11"/>
        <color theme="5" tint="-0.499984740745262"/>
        <rFont val="Calibri"/>
        <family val="2"/>
        <charset val="161"/>
        <scheme val="minor"/>
      </rPr>
      <t>Ffinc</t>
    </r>
    <r>
      <rPr>
        <sz val="11"/>
        <color theme="1"/>
        <rFont val="Calibri"/>
        <family val="2"/>
        <charset val="161"/>
        <scheme val="minor"/>
      </rPr>
      <t xml:space="preserve">, χωρις τις επικεφαλιδες του πινακα και τις κατω κενες γραμμες), παταμε αντιγραφη και στον αντιστοιχο πινακα του ΤΕΕ ΚΕΝΑΚ επιλεγουμε την πρωτη γραμμη πατωντας στο κελι με τον αριθμο 1, κανουμε δεξι κλικ και επιλεγουμε "Επικολληση γραμμης ή πλεγματος".  </t>
    </r>
  </si>
  <si>
    <t>Πετρελαιο</t>
  </si>
  <si>
    <t>Φυσικο αεριο</t>
  </si>
  <si>
    <t>Υγραεριο</t>
  </si>
  <si>
    <t>Πελετες Α1/Α2/Β ή Μπριγκετα Α1</t>
  </si>
  <si>
    <t>Μπριγκετα Α2/Β-υγρασια Μ15</t>
  </si>
  <si>
    <t>Καυσοξυλο Α1-υγρασια Μ20</t>
  </si>
  <si>
    <t>Καυσοξυλο Α1-υγρασια Μ25</t>
  </si>
  <si>
    <t>Ελαιοπυρηνοξυλο-υγρασια Μ10</t>
  </si>
  <si>
    <t>Ελαιοπυρηνοξυλο-υγρασια Μ15</t>
  </si>
  <si>
    <t>Λεβητας χωρις στοιχεια</t>
  </si>
  <si>
    <t>Συνηθης λεβητας</t>
  </si>
  <si>
    <t>Λεβητας χαμηλων θερμοκρασιων</t>
  </si>
  <si>
    <t>Λεβητας συμπυκνωσης</t>
  </si>
  <si>
    <t>Λεβητας βιομαζας (χωρις στοιχεια)</t>
  </si>
  <si>
    <t>Πιστοποιημενος λεβητας βιομαζας</t>
  </si>
  <si>
    <t>ΣΜΘΔ</t>
  </si>
  <si>
    <t>βαθμος Απ.</t>
  </si>
  <si>
    <t>βαθμος αποδοσης από:</t>
  </si>
  <si>
    <t>Φυλλο συντηρησης</t>
  </si>
  <si>
    <t>Σημανση 811/13 της ΕΕ</t>
  </si>
  <si>
    <t>Χωρις φυλλο συντηρησης</t>
  </si>
  <si>
    <t>κατασταση μονωσης:</t>
  </si>
  <si>
    <t>τυπος καυσιμου (πιν. 4.2α):</t>
  </si>
  <si>
    <t>τυπος λεβητα (πιν. 4.2β):</t>
  </si>
  <si>
    <t>Καλη μονωση</t>
  </si>
  <si>
    <t>Μετρια μονωση</t>
  </si>
  <si>
    <t>Κακη μονωση</t>
  </si>
  <si>
    <t>Βαθμος αποδ</t>
  </si>
  <si>
    <t>nsΚΘ:</t>
  </si>
  <si>
    <t>Τελικός Β.Απ. ngen*</t>
  </si>
  <si>
    <t>*Συντελεστης υπερδιαστασιολογισης:</t>
  </si>
  <si>
    <t>θεωρητικο συστημα θερμανσης</t>
  </si>
  <si>
    <t>τοπικες ηλεκτρ. μοναδες ισχυος 0,</t>
  </si>
  <si>
    <t>Β.Απ. 1, Β.Απ. δικτυου 1, τερμ. 0,94</t>
  </si>
  <si>
    <t>τυπος λεβητα (πιν. 4.2γ):</t>
  </si>
  <si>
    <t>εως και 25</t>
  </si>
  <si>
    <t>εως και 100</t>
  </si>
  <si>
    <t>εως και 400</t>
  </si>
  <si>
    <t>ανω 400</t>
  </si>
  <si>
    <t>Pm/Pgem υπερδιαστασιολογιση</t>
  </si>
  <si>
    <t>Καλη</t>
  </si>
  <si>
    <t>Κακη</t>
  </si>
  <si>
    <t>Μετρια</t>
  </si>
  <si>
    <t>b</t>
  </si>
  <si>
    <t>Κατασταση μονωσης</t>
  </si>
  <si>
    <r>
      <t xml:space="preserve">- Pn boiler ZNX </t>
    </r>
    <r>
      <rPr>
        <sz val="8"/>
        <color theme="9" tint="-0.499984740745262"/>
        <rFont val="Calibri"/>
        <family val="2"/>
        <charset val="161"/>
        <scheme val="minor"/>
      </rPr>
      <t>(Kw)</t>
    </r>
    <r>
      <rPr>
        <sz val="10"/>
        <color theme="9" tint="-0.499984740745262"/>
        <rFont val="Calibri"/>
        <family val="2"/>
        <charset val="161"/>
        <scheme val="minor"/>
      </rPr>
      <t>:</t>
    </r>
  </si>
  <si>
    <t>ΥΠΟΛΟΓΙΣΜΟΣ nsκθ</t>
  </si>
  <si>
    <t>ng0</t>
  </si>
  <si>
    <t>42γ</t>
  </si>
  <si>
    <t>ΥΠΟΛΟΓΙΣΜΟΣ ng1</t>
  </si>
  <si>
    <t>ng1=</t>
  </si>
  <si>
    <t>ΥΠΟΛΟΓΙΣΜΟΣ ng2</t>
  </si>
  <si>
    <t>Y</t>
  </si>
  <si>
    <t>ng2=</t>
  </si>
  <si>
    <t>ΥΠΟΛΟΓΙΣΜΟΣ ΣΤΟΙΧΕΙΩΝ ΓΙΑ ΕΙΣΑΓΩΓΗ ΣΤΟ ΛΟΓΙΣΜΙΚΟ Τ.Ε.Ε. ΚΕΝΑΚ ver.1.31.1.9</t>
  </si>
  <si>
    <r>
      <t>S.E.E.R. [</t>
    </r>
    <r>
      <rPr>
        <b/>
        <i/>
        <sz val="9"/>
        <color theme="7" tint="-0.499984740745262"/>
        <rFont val="Calibri"/>
        <family val="2"/>
        <charset val="161"/>
        <scheme val="minor"/>
      </rPr>
      <t>1,70</t>
    </r>
    <r>
      <rPr>
        <i/>
        <sz val="9"/>
        <color theme="7" tint="-0.499984740745262"/>
        <rFont val="Calibri"/>
        <family val="2"/>
        <charset val="161"/>
        <scheme val="minor"/>
      </rPr>
      <t xml:space="preserve"> / 2,20]</t>
    </r>
  </si>
  <si>
    <t>Εάν δεν υπαρχουν διαθεσιμα στοιχεια, τοτε λαμβανεται SEER: 1.7 για συστηματα πριν το 1990, 2.2 μεταξυ 1990 και 2000, 2.5 για μετα το 2001. Εάν δεν γνωριζουμε το ετος εγκαταστασης, 1.7.</t>
  </si>
  <si>
    <r>
      <rPr>
        <b/>
        <sz val="9"/>
        <rFont val="Calibri"/>
        <family val="2"/>
        <charset val="161"/>
        <scheme val="minor"/>
      </rPr>
      <t xml:space="preserve">% </t>
    </r>
    <r>
      <rPr>
        <sz val="9"/>
        <rFont val="Calibri"/>
        <family val="2"/>
        <charset val="161"/>
        <scheme val="minor"/>
      </rPr>
      <t>bet &gt;</t>
    </r>
  </si>
  <si>
    <t>ετος:</t>
  </si>
  <si>
    <t>≥</t>
  </si>
  <si>
    <t>≥5</t>
  </si>
  <si>
    <r>
      <t>U</t>
    </r>
    <r>
      <rPr>
        <b/>
        <sz val="8"/>
        <color theme="5" tint="-0.499984740745262"/>
        <rFont val="Calibri"/>
        <family val="2"/>
        <charset val="161"/>
        <scheme val="minor"/>
      </rPr>
      <t>τ,b</t>
    </r>
  </si>
  <si>
    <t>[αρνητικο μηκος: Fx=0,00,πληρης σκια]</t>
  </si>
  <si>
    <t>S.E.E.R.</t>
  </si>
  <si>
    <t>S.C.O.P.</t>
  </si>
  <si>
    <r>
      <rPr>
        <sz val="7"/>
        <color theme="5" tint="-0.499984740745262"/>
        <rFont val="Calibri"/>
        <family val="2"/>
        <charset val="161"/>
        <scheme val="minor"/>
      </rPr>
      <t xml:space="preserve">↓ </t>
    </r>
    <r>
      <rPr>
        <sz val="9"/>
        <color theme="5" tint="-0.499984740745262"/>
        <rFont val="Calibri"/>
        <family val="2"/>
        <charset val="161"/>
        <scheme val="minor"/>
      </rPr>
      <t>SCOP=0,93*COP,αλλιως συμφωνα με ΤΟΤΕΕ σελ.111</t>
    </r>
  </si>
  <si>
    <r>
      <rPr>
        <sz val="7"/>
        <color theme="5" tint="-0.499984740745262"/>
        <rFont val="Calibri"/>
        <family val="2"/>
        <charset val="161"/>
        <scheme val="minor"/>
      </rPr>
      <t xml:space="preserve">↓ </t>
    </r>
    <r>
      <rPr>
        <sz val="9"/>
        <color theme="5" tint="-0.499984740745262"/>
        <rFont val="Calibri"/>
        <family val="2"/>
        <charset val="161"/>
        <scheme val="minor"/>
      </rPr>
      <t>SEER=0,60*EER,αλλιως συμφωνα με ΤΟΤΕΕ σελ.117</t>
    </r>
  </si>
  <si>
    <t>0 w/m2</t>
  </si>
  <si>
    <t>θεωρ. συστ. | τοπικος ηλεκτ. Θερμαντ.</t>
  </si>
  <si>
    <t>ΧΩΡΟΣ</t>
  </si>
  <si>
    <t>εσωτερικος</t>
  </si>
  <si>
    <t>εξωτερικος</t>
  </si>
  <si>
    <t>Συνιστάται η ασπρόμαυρη εκτύπωση με οριζόντιο προσανατολισμό και μέγεθος χαρτιού Α4
(εκτύπωση/προεπισκόπηση εκτύπωσης/διαμόρφωση σελίδας: φύλλο/εκτύπωση: ασπρόμαυρη &amp; περιθωρια/ επανω: 1, κατω: 1)</t>
  </si>
  <si>
    <t>Συντελ. εκπομπης ε</t>
  </si>
  <si>
    <t>Σε μικρά κτίρια όπως πχ κτίρια κατοικιών και κεντρικά συστήματα με μικρές απαιτήσεις το σύστημα θεωρείτε τοπικό. Για μεγάλες απαιτήσεις ΖΝΧ υπολογίζετε το δίκτυο με τον πιν. 4.16 σελ. 146.</t>
  </si>
  <si>
    <t xml:space="preserve"> </t>
  </si>
  <si>
    <r>
      <rPr>
        <b/>
        <sz val="12"/>
        <color theme="1"/>
        <rFont val="Calibri"/>
        <family val="2"/>
        <charset val="161"/>
        <scheme val="minor"/>
      </rPr>
      <t>ΑΔΙΑΦΑΝΕΙΣ ΕΠΙΦΑΝΕΙΕΣ</t>
    </r>
    <r>
      <rPr>
        <b/>
        <sz val="11"/>
        <color theme="1"/>
        <rFont val="Calibri"/>
        <family val="2"/>
        <charset val="161"/>
        <scheme val="minor"/>
      </rPr>
      <t xml:space="preserve"> - ΠΙΝΑΚΑΣ ΓΙΑ ΑΝΤΙΓΡΑΦΗ &amp; ΕΠΙΚΟΛΛΗΣΗ ΣΤΟ ΠΡΟΓΡΑΜΜΑ ΤΕΕ-ΚΕΝΑΚ </t>
    </r>
    <r>
      <rPr>
        <sz val="11"/>
        <color theme="1"/>
        <rFont val="Calibri"/>
        <family val="2"/>
        <charset val="161"/>
        <scheme val="minor"/>
      </rPr>
      <t>ver.1.31.1.9</t>
    </r>
  </si>
  <si>
    <r>
      <rPr>
        <b/>
        <sz val="12"/>
        <color theme="1"/>
        <rFont val="Calibri"/>
        <family val="2"/>
        <charset val="161"/>
        <scheme val="minor"/>
      </rPr>
      <t>ΔΙΑΦΑΝΕΙΣ ΕΠΙΦΑΝΕΙΕΣ</t>
    </r>
    <r>
      <rPr>
        <b/>
        <sz val="11"/>
        <color theme="1"/>
        <rFont val="Calibri"/>
        <family val="2"/>
        <charset val="161"/>
        <scheme val="minor"/>
      </rPr>
      <t xml:space="preserve"> - ΠΙΝΑΚΑΣ ΓΙΑ ΑΝΤΙΓΡΑΦΗ &amp; ΕΠΙΚΟΛΛΗΣΗ ΣΤΟ ΠΡΟΓΡΑΜΜΑ ΤΕΕ-ΚΕΝΑΚ </t>
    </r>
    <r>
      <rPr>
        <sz val="11"/>
        <color theme="1"/>
        <rFont val="Calibri"/>
        <family val="2"/>
        <charset val="161"/>
        <scheme val="minor"/>
      </rPr>
      <t>ver.1.31.1.9</t>
    </r>
  </si>
  <si>
    <r>
      <rPr>
        <sz val="10"/>
        <color theme="3" tint="-0.249977111117893"/>
        <rFont val="Calibri"/>
        <family val="2"/>
        <charset val="161"/>
        <scheme val="minor"/>
      </rPr>
      <t xml:space="preserve">είδος </t>
    </r>
    <r>
      <rPr>
        <b/>
        <sz val="10"/>
        <color theme="3" tint="-0.249977111117893"/>
        <rFont val="Calibri"/>
        <family val="2"/>
        <charset val="161"/>
        <scheme val="minor"/>
      </rPr>
      <t>Β</t>
    </r>
  </si>
  <si>
    <r>
      <rPr>
        <sz val="10"/>
        <color theme="3" tint="-0.249977111117893"/>
        <rFont val="Calibri"/>
        <family val="2"/>
        <charset val="161"/>
        <scheme val="minor"/>
      </rPr>
      <t xml:space="preserve">άλλο </t>
    </r>
    <r>
      <rPr>
        <sz val="8"/>
        <color theme="3" tint="-0.249977111117893"/>
        <rFont val="Calibri"/>
        <family val="2"/>
        <charset val="161"/>
        <scheme val="minor"/>
      </rPr>
      <t>(μη αυτοματη εισαγωγη)</t>
    </r>
  </si>
  <si>
    <r>
      <t xml:space="preserve">Οι υπολογισμοί στο παρόν φύλλο καλύπτουν τα </t>
    </r>
    <r>
      <rPr>
        <b/>
        <sz val="9"/>
        <color theme="1" tint="0.249977111117893"/>
        <rFont val="Calibri"/>
        <family val="2"/>
        <charset val="161"/>
        <scheme val="minor"/>
      </rPr>
      <t xml:space="preserve">κυριότερα στοιχεία </t>
    </r>
    <r>
      <rPr>
        <sz val="9"/>
        <color theme="1" tint="0.249977111117893"/>
        <rFont val="Calibri"/>
        <family val="2"/>
        <charset val="161"/>
        <scheme val="minor"/>
      </rPr>
      <t xml:space="preserve">που πρέπει να υπολογίσει ο ενεργειακός επιθεωρητής σε μια </t>
    </r>
    <r>
      <rPr>
        <b/>
        <sz val="9"/>
        <color theme="1" tint="0.249977111117893"/>
        <rFont val="Calibri"/>
        <family val="2"/>
        <charset val="161"/>
        <scheme val="minor"/>
      </rPr>
      <t>συνήθης ενεργειακή επιθεώρηση</t>
    </r>
    <r>
      <rPr>
        <sz val="9"/>
        <color theme="1" tint="0.249977111117893"/>
        <rFont val="Calibri"/>
        <family val="2"/>
        <charset val="161"/>
        <scheme val="minor"/>
      </rPr>
      <t xml:space="preserve">. Στοιχεία ή μεγέθη που δεν περιλαμβάνονται ή που δεν συμπληρώνονται αυτόματα, υπολογίζονται </t>
    </r>
    <r>
      <rPr>
        <b/>
        <sz val="9"/>
        <color theme="1" tint="0.249977111117893"/>
        <rFont val="Calibri"/>
        <family val="2"/>
        <charset val="161"/>
        <scheme val="minor"/>
      </rPr>
      <t>αναλυτικά</t>
    </r>
    <r>
      <rPr>
        <sz val="9"/>
        <color theme="1" tint="0.249977111117893"/>
        <rFont val="Calibri"/>
        <family val="2"/>
        <charset val="161"/>
        <scheme val="minor"/>
      </rPr>
      <t xml:space="preserve"> και </t>
    </r>
    <r>
      <rPr>
        <b/>
        <sz val="9"/>
        <color theme="1" tint="0.249977111117893"/>
        <rFont val="Calibri"/>
        <family val="2"/>
        <charset val="161"/>
        <scheme val="minor"/>
      </rPr>
      <t xml:space="preserve">συμπληρώνονται </t>
    </r>
    <r>
      <rPr>
        <sz val="9"/>
        <color theme="1" tint="0.249977111117893"/>
        <rFont val="Calibri"/>
        <family val="2"/>
        <charset val="161"/>
        <scheme val="minor"/>
      </rPr>
      <t xml:space="preserve">απο τον επιθεωρητη, σύμφωνα με την μεθοδολογία και τους πινάκες της </t>
    </r>
    <r>
      <rPr>
        <b/>
        <sz val="9"/>
        <color theme="1" tint="0.249977111117893"/>
        <rFont val="Calibri"/>
        <family val="2"/>
        <charset val="161"/>
        <scheme val="minor"/>
      </rPr>
      <t>ΤΟΤΕΕ-20701-1/2017</t>
    </r>
    <r>
      <rPr>
        <sz val="9"/>
        <color theme="1" tint="0.249977111117893"/>
        <rFont val="Calibri"/>
        <family val="2"/>
        <charset val="161"/>
        <scheme val="minor"/>
      </rPr>
      <t xml:space="preserve">.
Σε περίπτωση που κάποια αυτόματα υπολογισμένη τιμή </t>
    </r>
    <r>
      <rPr>
        <b/>
        <sz val="9"/>
        <color theme="1" tint="0.249977111117893"/>
        <rFont val="Calibri"/>
        <family val="2"/>
        <charset val="161"/>
        <scheme val="minor"/>
      </rPr>
      <t>δεν</t>
    </r>
    <r>
      <rPr>
        <sz val="9"/>
        <color theme="1" tint="0.249977111117893"/>
        <rFont val="Calibri"/>
        <family val="2"/>
        <charset val="161"/>
        <scheme val="minor"/>
      </rPr>
      <t xml:space="preserve"> ικανοποιεί τις </t>
    </r>
    <r>
      <rPr>
        <b/>
        <sz val="9"/>
        <color theme="1" tint="0.249977111117893"/>
        <rFont val="Calibri"/>
        <family val="2"/>
        <charset val="161"/>
        <scheme val="minor"/>
      </rPr>
      <t>τεχνικές Οδηγίες του ΤΕΕ</t>
    </r>
    <r>
      <rPr>
        <sz val="9"/>
        <color theme="1" tint="0.249977111117893"/>
        <rFont val="Calibri"/>
        <family val="2"/>
        <charset val="161"/>
        <scheme val="minor"/>
      </rPr>
      <t xml:space="preserve">, τότε πατώντας πάνω στο κελί, </t>
    </r>
    <r>
      <rPr>
        <b/>
        <sz val="9"/>
        <color theme="1" tint="0.249977111117893"/>
        <rFont val="Calibri"/>
        <family val="2"/>
        <charset val="161"/>
        <scheme val="minor"/>
      </rPr>
      <t xml:space="preserve">εισάγετε την σωστή τιμή </t>
    </r>
    <r>
      <rPr>
        <sz val="9"/>
        <color theme="1" tint="0.249977111117893"/>
        <rFont val="Calibri"/>
        <family val="2"/>
        <charset val="161"/>
        <scheme val="minor"/>
      </rPr>
      <t xml:space="preserve">(μη αυτόματος υπολογισμός λοιπών περιπτώσεων).
Ο χρήστης έχει την </t>
    </r>
    <r>
      <rPr>
        <b/>
        <sz val="9"/>
        <color theme="1" tint="0.249977111117893"/>
        <rFont val="Calibri"/>
        <family val="2"/>
        <charset val="161"/>
        <scheme val="minor"/>
      </rPr>
      <t>αποκλειστική ευθύνη</t>
    </r>
    <r>
      <rPr>
        <sz val="9"/>
        <color theme="1" tint="0.249977111117893"/>
        <rFont val="Calibri"/>
        <family val="2"/>
        <charset val="161"/>
        <scheme val="minor"/>
      </rPr>
      <t xml:space="preserve"> της ορθότητας των υπολογισμών και των τιμών, καθώς επίσης και της τήρησης των Τ.Ο.Τ.Ε.Ε. Διαβάστε επίσης τις </t>
    </r>
    <r>
      <rPr>
        <b/>
        <sz val="9"/>
        <color theme="1" tint="0.249977111117893"/>
        <rFont val="Calibri"/>
        <family val="2"/>
        <charset val="161"/>
        <scheme val="minor"/>
      </rPr>
      <t>ΓΕΝΙΚΕΣ ΟΔΗΓΙΕΣ - ΠΑΡΑΤΗΡΗΣΕΙΣ</t>
    </r>
    <r>
      <rPr>
        <sz val="9"/>
        <color theme="1" tint="0.249977111117893"/>
        <rFont val="Calibri"/>
        <family val="2"/>
        <charset val="161"/>
        <scheme val="minor"/>
      </rPr>
      <t xml:space="preserve"> παρακάτω.   </t>
    </r>
  </si>
  <si>
    <r>
      <rPr>
        <sz val="10"/>
        <color theme="3" tint="-0.249977111117893"/>
        <rFont val="Calibri"/>
        <family val="2"/>
        <charset val="161"/>
        <scheme val="minor"/>
      </rPr>
      <t xml:space="preserve">είδος </t>
    </r>
    <r>
      <rPr>
        <b/>
        <sz val="10"/>
        <color theme="3" tint="-0.249977111117893"/>
        <rFont val="Calibri"/>
        <family val="2"/>
        <charset val="161"/>
        <scheme val="minor"/>
      </rPr>
      <t xml:space="preserve">Γ </t>
    </r>
  </si>
  <si>
    <r>
      <t xml:space="preserve">Διείσδυση αέρα   </t>
    </r>
    <r>
      <rPr>
        <sz val="10"/>
        <color theme="3" tint="-0.249977111117893"/>
        <rFont val="Calibri"/>
        <family val="2"/>
        <charset val="161"/>
        <scheme val="minor"/>
      </rPr>
      <t xml:space="preserve">είδος </t>
    </r>
    <r>
      <rPr>
        <b/>
        <sz val="10"/>
        <color theme="3" tint="-0.249977111117893"/>
        <rFont val="Calibri"/>
        <family val="2"/>
        <charset val="161"/>
        <scheme val="minor"/>
      </rPr>
      <t>Α</t>
    </r>
  </si>
  <si>
    <r>
      <t xml:space="preserve">4.2 ΑΝΤΛΙΑ ΘΕΡΜΟΤΗΤΑΣ </t>
    </r>
    <r>
      <rPr>
        <sz val="9"/>
        <color theme="1"/>
        <rFont val="Calibri"/>
        <family val="2"/>
        <charset val="161"/>
        <scheme val="minor"/>
      </rPr>
      <t>(a/c, με θερμαινομενο μεσο τον αερα)</t>
    </r>
  </si>
  <si>
    <r>
      <t xml:space="preserve">ΑΝΤΛΙΑ ΘΕΡΜΟΤΗΤΑΣ </t>
    </r>
    <r>
      <rPr>
        <sz val="9"/>
        <color theme="1"/>
        <rFont val="Calibri"/>
        <family val="2"/>
        <charset val="161"/>
        <scheme val="minor"/>
      </rPr>
      <t>(a/c, με ψυχομενο μεσο τον αερα)</t>
    </r>
  </si>
  <si>
    <r>
      <rPr>
        <b/>
        <sz val="11"/>
        <color theme="1"/>
        <rFont val="Calibri"/>
        <family val="2"/>
        <charset val="161"/>
        <scheme val="minor"/>
      </rPr>
      <t>Διείσδυση αέρα</t>
    </r>
    <r>
      <rPr>
        <sz val="8"/>
        <color theme="1"/>
        <rFont val="Calibri"/>
        <family val="2"/>
        <charset val="161"/>
        <scheme val="minor"/>
      </rPr>
      <t xml:space="preserve"> (αυτόματος υπολογισμός από πίνακα 3)   </t>
    </r>
    <r>
      <rPr>
        <sz val="11"/>
        <color theme="1"/>
        <rFont val="Calibri"/>
        <family val="2"/>
        <charset val="161"/>
        <scheme val="minor"/>
      </rPr>
      <t>:</t>
    </r>
  </si>
  <si>
    <r>
      <rPr>
        <b/>
        <sz val="11"/>
        <color theme="1"/>
        <rFont val="Calibri"/>
        <family val="2"/>
        <charset val="161"/>
        <scheme val="minor"/>
      </rPr>
      <t>Υπολογισμός θερμογεφυρών</t>
    </r>
    <r>
      <rPr>
        <sz val="11"/>
        <color theme="1"/>
        <rFont val="Calibri"/>
        <family val="2"/>
        <charset val="161"/>
        <scheme val="minor"/>
      </rPr>
      <t xml:space="preserve"> (U</t>
    </r>
    <r>
      <rPr>
        <sz val="8"/>
        <color theme="1"/>
        <rFont val="Calibri"/>
        <family val="2"/>
        <charset val="161"/>
        <scheme val="minor"/>
      </rPr>
      <t>τ,b</t>
    </r>
    <r>
      <rPr>
        <sz val="11"/>
        <color theme="1"/>
        <rFont val="Calibri"/>
        <family val="2"/>
        <charset val="161"/>
        <scheme val="minor"/>
      </rPr>
      <t xml:space="preserve"> + 0.2):</t>
    </r>
  </si>
  <si>
    <r>
      <t xml:space="preserve">Συνολικη διεισδυση αερα </t>
    </r>
    <r>
      <rPr>
        <b/>
        <sz val="9"/>
        <color theme="3" tint="-0.249977111117893"/>
        <rFont val="Calibri"/>
        <family val="2"/>
        <charset val="161"/>
        <scheme val="minor"/>
      </rPr>
      <t xml:space="preserve"> </t>
    </r>
    <r>
      <rPr>
        <sz val="9"/>
        <color theme="3" tint="-0.249977111117893"/>
        <rFont val="Calibri"/>
        <family val="2"/>
        <charset val="161"/>
        <scheme val="minor"/>
      </rPr>
      <t>[m</t>
    </r>
    <r>
      <rPr>
        <vertAlign val="superscript"/>
        <sz val="9"/>
        <color theme="3" tint="-0.249977111117893"/>
        <rFont val="Calibri"/>
        <family val="2"/>
        <charset val="161"/>
        <scheme val="minor"/>
      </rPr>
      <t>3</t>
    </r>
    <r>
      <rPr>
        <sz val="9"/>
        <color theme="3" tint="-0.249977111117893"/>
        <rFont val="Calibri"/>
        <family val="2"/>
        <charset val="161"/>
        <scheme val="minor"/>
      </rPr>
      <t>/h]</t>
    </r>
    <r>
      <rPr>
        <sz val="11"/>
        <color theme="3" tint="-0.249977111117893"/>
        <rFont val="Calibri"/>
        <family val="2"/>
        <charset val="161"/>
        <scheme val="minor"/>
      </rPr>
      <t xml:space="preserve"> :</t>
    </r>
  </si>
  <si>
    <t>διπλο κουφωμα (ξυλινο)</t>
  </si>
  <si>
    <t>διπλο κουφωμα (αλουμινιου)</t>
  </si>
  <si>
    <t>4.1 ΛΕΒΗΤΑΣ</t>
  </si>
  <si>
    <t>ΙΣΧΥΕΙ ΓΙΑ ΚΕΝΤΡΙΚΟ ΣΥΣΤΗΜΑ</t>
  </si>
  <si>
    <t xml:space="preserve">[ΤΙΤΛΟΣ] </t>
  </si>
  <si>
    <t>ΕΝΕΡΓΕΙΑΚΟΣ ΕΠΙΘΕΩΡΗΤΗΣ [ΤΑΞΗ]</t>
  </si>
</sst>
</file>

<file path=xl/styles.xml><?xml version="1.0" encoding="utf-8"?>
<styleSheet xmlns="http://schemas.openxmlformats.org/spreadsheetml/2006/main">
  <numFmts count="6">
    <numFmt numFmtId="43" formatCode="_-* #,##0.00\ _€_-;\-* #,##0.00\ _€_-;_-* &quot;-&quot;??\ _€_-;_-@_-"/>
    <numFmt numFmtId="164" formatCode="dd/mm/yy;@"/>
    <numFmt numFmtId="165" formatCode="0.0"/>
    <numFmt numFmtId="166" formatCode="0.000"/>
    <numFmt numFmtId="167" formatCode="#,##0.000"/>
    <numFmt numFmtId="168" formatCode="0.0000"/>
  </numFmts>
  <fonts count="143">
    <font>
      <sz val="11"/>
      <color theme="1"/>
      <name val="Calibri"/>
      <family val="2"/>
      <charset val="161"/>
      <scheme val="minor"/>
    </font>
    <font>
      <b/>
      <sz val="11"/>
      <color theme="1"/>
      <name val="Calibri"/>
      <family val="2"/>
      <charset val="161"/>
      <scheme val="minor"/>
    </font>
    <font>
      <sz val="9"/>
      <color theme="1"/>
      <name val="Calibri"/>
      <family val="2"/>
      <charset val="161"/>
      <scheme val="minor"/>
    </font>
    <font>
      <sz val="11"/>
      <name val="Calibri"/>
      <family val="2"/>
      <charset val="161"/>
      <scheme val="minor"/>
    </font>
    <font>
      <sz val="11"/>
      <color theme="5" tint="-0.499984740745262"/>
      <name val="Calibri"/>
      <family val="2"/>
      <charset val="161"/>
      <scheme val="minor"/>
    </font>
    <font>
      <b/>
      <sz val="11"/>
      <color theme="5" tint="-0.499984740745262"/>
      <name val="Calibri"/>
      <family val="2"/>
      <charset val="161"/>
      <scheme val="minor"/>
    </font>
    <font>
      <b/>
      <sz val="8"/>
      <color theme="5" tint="-0.499984740745262"/>
      <name val="Calibri"/>
      <family val="2"/>
      <charset val="161"/>
      <scheme val="minor"/>
    </font>
    <font>
      <sz val="9"/>
      <color indexed="81"/>
      <name val="Tahoma"/>
      <family val="2"/>
      <charset val="161"/>
    </font>
    <font>
      <sz val="10"/>
      <color theme="1"/>
      <name val="Calibri"/>
      <family val="2"/>
      <charset val="161"/>
      <scheme val="minor"/>
    </font>
    <font>
      <b/>
      <sz val="10"/>
      <color theme="1"/>
      <name val="Calibri"/>
      <family val="2"/>
      <charset val="161"/>
      <scheme val="minor"/>
    </font>
    <font>
      <sz val="8"/>
      <color theme="1"/>
      <name val="Calibri"/>
      <family val="2"/>
      <charset val="161"/>
      <scheme val="minor"/>
    </font>
    <font>
      <sz val="10"/>
      <name val="Arial"/>
      <family val="2"/>
      <charset val="161"/>
    </font>
    <font>
      <sz val="9"/>
      <color theme="5" tint="-0.499984740745262"/>
      <name val="Calibri"/>
      <family val="2"/>
      <charset val="161"/>
      <scheme val="minor"/>
    </font>
    <font>
      <sz val="11"/>
      <color theme="0" tint="-0.34998626667073579"/>
      <name val="Calibri"/>
      <family val="2"/>
      <charset val="161"/>
      <scheme val="minor"/>
    </font>
    <font>
      <sz val="8"/>
      <name val="Calibri"/>
      <family val="2"/>
      <charset val="161"/>
      <scheme val="minor"/>
    </font>
    <font>
      <sz val="8"/>
      <color theme="5" tint="-0.499984740745262"/>
      <name val="Calibri"/>
      <family val="2"/>
      <charset val="161"/>
      <scheme val="minor"/>
    </font>
    <font>
      <b/>
      <i/>
      <sz val="10"/>
      <name val="Arial"/>
      <family val="2"/>
      <charset val="161"/>
    </font>
    <font>
      <b/>
      <i/>
      <vertAlign val="subscript"/>
      <sz val="10"/>
      <name val="Arial"/>
      <family val="2"/>
      <charset val="161"/>
    </font>
    <font>
      <b/>
      <sz val="10"/>
      <name val="Arial"/>
      <family val="2"/>
      <charset val="161"/>
    </font>
    <font>
      <i/>
      <sz val="10"/>
      <name val="Arial"/>
      <family val="2"/>
      <charset val="161"/>
    </font>
    <font>
      <b/>
      <sz val="11"/>
      <color theme="0" tint="-0.34998626667073579"/>
      <name val="Calibri"/>
      <family val="2"/>
      <charset val="161"/>
      <scheme val="minor"/>
    </font>
    <font>
      <i/>
      <sz val="11"/>
      <color theme="0" tint="-0.249977111117893"/>
      <name val="Calibri"/>
      <family val="2"/>
      <charset val="161"/>
      <scheme val="minor"/>
    </font>
    <font>
      <sz val="10"/>
      <color theme="5" tint="-0.499984740745262"/>
      <name val="Calibri"/>
      <family val="2"/>
      <charset val="161"/>
      <scheme val="minor"/>
    </font>
    <font>
      <b/>
      <sz val="10"/>
      <color theme="5" tint="-0.499984740745262"/>
      <name val="Calibri"/>
      <family val="2"/>
      <charset val="161"/>
      <scheme val="minor"/>
    </font>
    <font>
      <sz val="10"/>
      <name val="Calibri"/>
      <family val="2"/>
      <charset val="161"/>
      <scheme val="minor"/>
    </font>
    <font>
      <sz val="10"/>
      <color theme="3" tint="-0.499984740745262"/>
      <name val="Calibri"/>
      <family val="2"/>
      <charset val="161"/>
      <scheme val="minor"/>
    </font>
    <font>
      <i/>
      <sz val="9"/>
      <color theme="1"/>
      <name val="Calibri"/>
      <family val="2"/>
      <charset val="161"/>
      <scheme val="minor"/>
    </font>
    <font>
      <sz val="11"/>
      <color theme="7" tint="-0.499984740745262"/>
      <name val="Calibri"/>
      <family val="2"/>
      <charset val="161"/>
      <scheme val="minor"/>
    </font>
    <font>
      <sz val="8"/>
      <color theme="7" tint="-0.499984740745262"/>
      <name val="Calibri"/>
      <family val="2"/>
      <charset val="161"/>
      <scheme val="minor"/>
    </font>
    <font>
      <i/>
      <sz val="9"/>
      <color theme="7" tint="-0.499984740745262"/>
      <name val="Calibri"/>
      <family val="2"/>
      <charset val="161"/>
      <scheme val="minor"/>
    </font>
    <font>
      <sz val="10"/>
      <color rgb="FF002060"/>
      <name val="Calibri"/>
      <family val="2"/>
      <charset val="161"/>
      <scheme val="minor"/>
    </font>
    <font>
      <b/>
      <sz val="10"/>
      <color rgb="FF002060"/>
      <name val="Calibri"/>
      <family val="2"/>
      <charset val="161"/>
      <scheme val="minor"/>
    </font>
    <font>
      <b/>
      <sz val="12"/>
      <color rgb="FF002060"/>
      <name val="Calibri"/>
      <family val="2"/>
      <charset val="161"/>
      <scheme val="minor"/>
    </font>
    <font>
      <sz val="9"/>
      <color rgb="FF002060"/>
      <name val="Calibri"/>
      <family val="2"/>
      <charset val="161"/>
      <scheme val="minor"/>
    </font>
    <font>
      <sz val="10"/>
      <color theme="1" tint="0.249977111117893"/>
      <name val="Calibri"/>
      <family val="2"/>
      <charset val="161"/>
      <scheme val="minor"/>
    </font>
    <font>
      <b/>
      <sz val="10"/>
      <color theme="1" tint="0.249977111117893"/>
      <name val="Calibri"/>
      <family val="2"/>
      <charset val="161"/>
      <scheme val="minor"/>
    </font>
    <font>
      <sz val="11"/>
      <color theme="1" tint="0.34998626667073579"/>
      <name val="Calibri"/>
      <family val="2"/>
      <charset val="161"/>
      <scheme val="minor"/>
    </font>
    <font>
      <i/>
      <sz val="8"/>
      <color theme="7" tint="-0.499984740745262"/>
      <name val="Calibri"/>
      <family val="2"/>
      <charset val="161"/>
      <scheme val="minor"/>
    </font>
    <font>
      <sz val="8"/>
      <color theme="1" tint="0.34998626667073579"/>
      <name val="Calibri"/>
      <family val="2"/>
      <charset val="161"/>
      <scheme val="minor"/>
    </font>
    <font>
      <sz val="8"/>
      <color rgb="FF002060"/>
      <name val="Calibri"/>
      <family val="2"/>
      <charset val="161"/>
      <scheme val="minor"/>
    </font>
    <font>
      <b/>
      <sz val="11"/>
      <color rgb="FF002060"/>
      <name val="Calibri"/>
      <family val="2"/>
      <charset val="161"/>
      <scheme val="minor"/>
    </font>
    <font>
      <i/>
      <sz val="11"/>
      <color theme="1" tint="0.34998626667073579"/>
      <name val="Calibri"/>
      <family val="2"/>
      <charset val="161"/>
      <scheme val="minor"/>
    </font>
    <font>
      <sz val="9.5"/>
      <color theme="5" tint="-0.499984740745262"/>
      <name val="Calibri"/>
      <family val="2"/>
      <charset val="161"/>
      <scheme val="minor"/>
    </font>
    <font>
      <sz val="10"/>
      <color theme="1" tint="0.34998626667073579"/>
      <name val="Calibri"/>
      <family val="2"/>
      <charset val="161"/>
      <scheme val="minor"/>
    </font>
    <font>
      <sz val="9"/>
      <color theme="6" tint="-0.499984740745262"/>
      <name val="Calibri"/>
      <family val="2"/>
      <charset val="161"/>
      <scheme val="minor"/>
    </font>
    <font>
      <i/>
      <sz val="9"/>
      <color theme="6" tint="-0.499984740745262"/>
      <name val="Calibri"/>
      <family val="2"/>
      <charset val="161"/>
      <scheme val="minor"/>
    </font>
    <font>
      <sz val="8"/>
      <color theme="6" tint="-0.499984740745262"/>
      <name val="Calibri"/>
      <family val="2"/>
      <charset val="161"/>
      <scheme val="minor"/>
    </font>
    <font>
      <b/>
      <sz val="9"/>
      <color theme="7" tint="-0.499984740745262"/>
      <name val="Calibri"/>
      <family val="2"/>
      <charset val="161"/>
      <scheme val="minor"/>
    </font>
    <font>
      <sz val="11"/>
      <color theme="6" tint="-0.499984740745262"/>
      <name val="Calibri"/>
      <family val="2"/>
      <charset val="161"/>
      <scheme val="minor"/>
    </font>
    <font>
      <sz val="9"/>
      <color theme="4" tint="-0.499984740745262"/>
      <name val="Calibri"/>
      <family val="2"/>
      <charset val="161"/>
      <scheme val="minor"/>
    </font>
    <font>
      <sz val="8"/>
      <color indexed="81"/>
      <name val="Tahoma"/>
      <family val="2"/>
      <charset val="161"/>
    </font>
    <font>
      <b/>
      <sz val="8"/>
      <color indexed="81"/>
      <name val="Tahoma"/>
      <family val="2"/>
      <charset val="161"/>
    </font>
    <font>
      <u/>
      <sz val="8"/>
      <color indexed="81"/>
      <name val="Tahoma"/>
      <family val="2"/>
      <charset val="161"/>
    </font>
    <font>
      <b/>
      <u/>
      <sz val="8"/>
      <color indexed="81"/>
      <name val="Tahoma"/>
      <family val="2"/>
      <charset val="161"/>
    </font>
    <font>
      <sz val="7"/>
      <color rgb="FF002060"/>
      <name val="Calibri"/>
      <family val="2"/>
      <charset val="161"/>
      <scheme val="minor"/>
    </font>
    <font>
      <b/>
      <sz val="7"/>
      <color rgb="FF002060"/>
      <name val="Calibri"/>
      <family val="2"/>
      <charset val="161"/>
      <scheme val="minor"/>
    </font>
    <font>
      <sz val="7"/>
      <color theme="1"/>
      <name val="Calibri"/>
      <family val="2"/>
      <charset val="161"/>
      <scheme val="minor"/>
    </font>
    <font>
      <i/>
      <sz val="7"/>
      <color indexed="81"/>
      <name val="Tahoma"/>
      <family val="2"/>
      <charset val="161"/>
    </font>
    <font>
      <b/>
      <i/>
      <sz val="9"/>
      <color theme="7" tint="-0.499984740745262"/>
      <name val="Calibri"/>
      <family val="2"/>
      <charset val="161"/>
      <scheme val="minor"/>
    </font>
    <font>
      <b/>
      <sz val="9"/>
      <color indexed="81"/>
      <name val="Tahoma"/>
      <family val="2"/>
      <charset val="161"/>
    </font>
    <font>
      <u/>
      <sz val="11"/>
      <color theme="10"/>
      <name val="Calibri"/>
      <family val="2"/>
      <charset val="161"/>
    </font>
    <font>
      <sz val="9"/>
      <name val="Calibri"/>
      <family val="2"/>
      <charset val="161"/>
      <scheme val="minor"/>
    </font>
    <font>
      <sz val="7"/>
      <name val="Calibri"/>
      <family val="2"/>
      <charset val="161"/>
      <scheme val="minor"/>
    </font>
    <font>
      <b/>
      <sz val="9"/>
      <color theme="6" tint="-0.499984740745262"/>
      <name val="Calibri"/>
      <family val="2"/>
      <charset val="161"/>
      <scheme val="minor"/>
    </font>
    <font>
      <sz val="12"/>
      <color theme="1"/>
      <name val="Calibri"/>
      <family val="2"/>
      <charset val="161"/>
      <scheme val="minor"/>
    </font>
    <font>
      <sz val="12"/>
      <color theme="5" tint="-0.499984740745262"/>
      <name val="Calibri"/>
      <family val="2"/>
      <charset val="161"/>
      <scheme val="minor"/>
    </font>
    <font>
      <sz val="10"/>
      <color theme="4" tint="-0.499984740745262"/>
      <name val="Calibri"/>
      <family val="2"/>
      <charset val="161"/>
    </font>
    <font>
      <u/>
      <sz val="10"/>
      <color theme="4" tint="-0.499984740745262"/>
      <name val="Calibri"/>
      <family val="2"/>
      <charset val="161"/>
    </font>
    <font>
      <i/>
      <sz val="9"/>
      <color theme="0" tint="-0.34998626667073579"/>
      <name val="Calibri"/>
      <family val="2"/>
      <charset val="161"/>
      <scheme val="minor"/>
    </font>
    <font>
      <sz val="8"/>
      <color theme="2" tint="-0.749992370372631"/>
      <name val="Calibri"/>
      <family val="2"/>
      <charset val="161"/>
      <scheme val="minor"/>
    </font>
    <font>
      <sz val="9"/>
      <color theme="2" tint="-0.749992370372631"/>
      <name val="Calibri"/>
      <family val="2"/>
      <charset val="161"/>
      <scheme val="minor"/>
    </font>
    <font>
      <sz val="9"/>
      <color theme="1" tint="0.249977111117893"/>
      <name val="Calibri"/>
      <family val="2"/>
      <charset val="161"/>
      <scheme val="minor"/>
    </font>
    <font>
      <b/>
      <sz val="9"/>
      <color theme="1" tint="0.249977111117893"/>
      <name val="Calibri"/>
      <family val="2"/>
      <charset val="161"/>
      <scheme val="minor"/>
    </font>
    <font>
      <sz val="7"/>
      <color indexed="81"/>
      <name val="Tahoma"/>
      <family val="2"/>
      <charset val="161"/>
    </font>
    <font>
      <sz val="11.5"/>
      <color rgb="FFFFC000"/>
      <name val="Calibri"/>
      <family val="2"/>
      <charset val="161"/>
      <scheme val="minor"/>
    </font>
    <font>
      <b/>
      <sz val="11.5"/>
      <color rgb="FFFFC000"/>
      <name val="Calibri"/>
      <family val="2"/>
      <charset val="161"/>
      <scheme val="minor"/>
    </font>
    <font>
      <sz val="10"/>
      <color theme="9" tint="-0.499984740745262"/>
      <name val="Calibri"/>
      <family val="2"/>
      <charset val="161"/>
      <scheme val="minor"/>
    </font>
    <font>
      <sz val="8"/>
      <color theme="9" tint="-0.499984740745262"/>
      <name val="Calibri"/>
      <family val="2"/>
      <charset val="161"/>
      <scheme val="minor"/>
    </font>
    <font>
      <sz val="9"/>
      <color theme="0" tint="-0.499984740745262"/>
      <name val="Calibri"/>
      <family val="2"/>
      <charset val="161"/>
      <scheme val="minor"/>
    </font>
    <font>
      <b/>
      <sz val="11.5"/>
      <color theme="1" tint="0.34998626667073579"/>
      <name val="Calibri"/>
      <family val="2"/>
      <charset val="161"/>
      <scheme val="minor"/>
    </font>
    <font>
      <b/>
      <sz val="11.5"/>
      <color theme="1" tint="0.249977111117893"/>
      <name val="Calibri"/>
      <family val="2"/>
      <charset val="161"/>
      <scheme val="minor"/>
    </font>
    <font>
      <b/>
      <sz val="11.5"/>
      <color theme="1" tint="0.249977111117893"/>
      <name val="Calibri"/>
      <family val="2"/>
      <charset val="161"/>
    </font>
    <font>
      <b/>
      <sz val="9"/>
      <color rgb="FFFFC000"/>
      <name val="Calibri"/>
      <family val="2"/>
      <charset val="161"/>
      <scheme val="minor"/>
    </font>
    <font>
      <b/>
      <sz val="8"/>
      <color theme="2" tint="-0.749992370372631"/>
      <name val="Calibri"/>
      <family val="2"/>
      <charset val="161"/>
      <scheme val="minor"/>
    </font>
    <font>
      <b/>
      <sz val="8"/>
      <color theme="9" tint="-0.499984740745262"/>
      <name val="Calibri"/>
      <family val="2"/>
      <charset val="161"/>
      <scheme val="minor"/>
    </font>
    <font>
      <b/>
      <sz val="8"/>
      <color rgb="FFFFC000"/>
      <name val="Calibri"/>
      <family val="2"/>
      <charset val="161"/>
      <scheme val="minor"/>
    </font>
    <font>
      <b/>
      <sz val="9"/>
      <name val="Calibri"/>
      <family val="2"/>
      <charset val="161"/>
      <scheme val="minor"/>
    </font>
    <font>
      <b/>
      <vertAlign val="superscript"/>
      <sz val="9"/>
      <color theme="1" tint="0.249977111117893"/>
      <name val="Calibri"/>
      <family val="2"/>
      <charset val="161"/>
      <scheme val="minor"/>
    </font>
    <font>
      <sz val="11"/>
      <color theme="1"/>
      <name val="Calibri"/>
      <family val="2"/>
      <charset val="161"/>
    </font>
    <font>
      <sz val="10"/>
      <color rgb="FF002060"/>
      <name val="Calibri"/>
      <family val="2"/>
      <charset val="161"/>
    </font>
    <font>
      <u/>
      <sz val="10"/>
      <color rgb="FF002060"/>
      <name val="Calibri"/>
      <family val="2"/>
      <charset val="161"/>
    </font>
    <font>
      <b/>
      <sz val="7"/>
      <color indexed="81"/>
      <name val="Tahoma"/>
      <family val="2"/>
      <charset val="161"/>
    </font>
    <font>
      <sz val="10"/>
      <color theme="0" tint="-0.34998626667073579"/>
      <name val="Calibri"/>
      <family val="2"/>
      <charset val="161"/>
      <scheme val="minor"/>
    </font>
    <font>
      <b/>
      <sz val="10"/>
      <color theme="0" tint="-0.34998626667073579"/>
      <name val="Calibri"/>
      <family val="2"/>
      <charset val="161"/>
      <scheme val="minor"/>
    </font>
    <font>
      <sz val="11"/>
      <color theme="1"/>
      <name val="Calibri"/>
      <family val="2"/>
      <charset val="161"/>
      <scheme val="minor"/>
    </font>
    <font>
      <sz val="8"/>
      <color theme="1" tint="0.249977111117893"/>
      <name val="Calibri"/>
      <family val="2"/>
      <charset val="161"/>
      <scheme val="minor"/>
    </font>
    <font>
      <i/>
      <sz val="10"/>
      <color theme="1"/>
      <name val="Calibri"/>
      <family val="2"/>
      <charset val="161"/>
      <scheme val="minor"/>
    </font>
    <font>
      <b/>
      <u/>
      <sz val="10"/>
      <color theme="1" tint="0.499984740745262"/>
      <name val="Calibri"/>
      <family val="2"/>
      <charset val="161"/>
      <scheme val="minor"/>
    </font>
    <font>
      <b/>
      <sz val="10"/>
      <color theme="1" tint="0.499984740745262"/>
      <name val="Calibri"/>
      <family val="2"/>
      <charset val="161"/>
      <scheme val="minor"/>
    </font>
    <font>
      <sz val="9"/>
      <color theme="1" tint="0.249977111117893"/>
      <name val="Calibri"/>
      <family val="2"/>
      <charset val="161"/>
    </font>
    <font>
      <sz val="9"/>
      <color theme="1" tint="0.499984740745262"/>
      <name val="Calibri"/>
      <family val="2"/>
      <charset val="161"/>
      <scheme val="minor"/>
    </font>
    <font>
      <sz val="10"/>
      <color theme="1" tint="0.34998626667073579"/>
      <name val="Calibri"/>
      <family val="2"/>
      <charset val="161"/>
    </font>
    <font>
      <b/>
      <sz val="9"/>
      <color theme="2" tint="-0.749992370372631"/>
      <name val="Calibri"/>
      <family val="2"/>
      <charset val="161"/>
      <scheme val="minor"/>
    </font>
    <font>
      <b/>
      <sz val="8"/>
      <color theme="1"/>
      <name val="Calibri"/>
      <family val="2"/>
      <charset val="161"/>
      <scheme val="minor"/>
    </font>
    <font>
      <b/>
      <sz val="9"/>
      <color theme="5" tint="-0.499984740745262"/>
      <name val="Calibri"/>
      <family val="2"/>
      <charset val="161"/>
      <scheme val="minor"/>
    </font>
    <font>
      <sz val="8.5"/>
      <color theme="2" tint="-0.749992370372631"/>
      <name val="Calibri"/>
      <family val="2"/>
      <charset val="161"/>
      <scheme val="minor"/>
    </font>
    <font>
      <sz val="7"/>
      <color theme="5" tint="-0.499984740745262"/>
      <name val="Calibri"/>
      <family val="2"/>
      <charset val="161"/>
      <scheme val="minor"/>
    </font>
    <font>
      <sz val="9"/>
      <color theme="2" tint="-0.89999084444715716"/>
      <name val="Calibri"/>
      <family val="2"/>
      <charset val="161"/>
      <scheme val="minor"/>
    </font>
    <font>
      <sz val="8"/>
      <color theme="1" tint="0.499984740745262"/>
      <name val="Calibri"/>
      <family val="2"/>
      <charset val="161"/>
      <scheme val="minor"/>
    </font>
    <font>
      <i/>
      <sz val="11"/>
      <color theme="1" tint="0.249977111117893"/>
      <name val="Calibri"/>
      <family val="2"/>
      <charset val="161"/>
      <scheme val="minor"/>
    </font>
    <font>
      <sz val="10"/>
      <color theme="7" tint="-0.499984740745262"/>
      <name val="Calibri"/>
      <family val="2"/>
      <charset val="161"/>
      <scheme val="minor"/>
    </font>
    <font>
      <sz val="9"/>
      <color theme="7" tint="-0.499984740745262"/>
      <name val="Calibri"/>
      <family val="2"/>
      <charset val="161"/>
      <scheme val="minor"/>
    </font>
    <font>
      <sz val="10"/>
      <color theme="3" tint="-0.249977111117893"/>
      <name val="Calibri"/>
      <family val="2"/>
      <charset val="161"/>
      <scheme val="minor"/>
    </font>
    <font>
      <b/>
      <sz val="10"/>
      <color theme="3" tint="-0.249977111117893"/>
      <name val="Calibri"/>
      <family val="2"/>
      <charset val="161"/>
      <scheme val="minor"/>
    </font>
    <font>
      <sz val="9"/>
      <color theme="3" tint="-0.249977111117893"/>
      <name val="Calibri"/>
      <family val="2"/>
      <charset val="161"/>
      <scheme val="minor"/>
    </font>
    <font>
      <b/>
      <sz val="11"/>
      <color theme="3" tint="-0.249977111117893"/>
      <name val="Calibri"/>
      <family val="2"/>
      <charset val="161"/>
      <scheme val="minor"/>
    </font>
    <font>
      <b/>
      <sz val="12"/>
      <color theme="3" tint="-0.249977111117893"/>
      <name val="Calibri"/>
      <family val="2"/>
      <charset val="161"/>
      <scheme val="minor"/>
    </font>
    <font>
      <b/>
      <sz val="12"/>
      <color rgb="FFFFC000"/>
      <name val="Calibri"/>
      <family val="2"/>
      <charset val="161"/>
      <scheme val="minor"/>
    </font>
    <font>
      <sz val="7"/>
      <color theme="3" tint="-0.249977111117893"/>
      <name val="Calibri"/>
      <family val="2"/>
      <charset val="161"/>
      <scheme val="minor"/>
    </font>
    <font>
      <b/>
      <sz val="9"/>
      <color theme="0"/>
      <name val="Calibri"/>
      <family val="2"/>
      <charset val="161"/>
      <scheme val="minor"/>
    </font>
    <font>
      <sz val="9"/>
      <color theme="0"/>
      <name val="Calibri"/>
      <family val="2"/>
      <charset val="161"/>
      <scheme val="minor"/>
    </font>
    <font>
      <sz val="8"/>
      <color theme="0"/>
      <name val="Calibri"/>
      <family val="2"/>
      <charset val="161"/>
      <scheme val="minor"/>
    </font>
    <font>
      <sz val="9"/>
      <color rgb="FF008000"/>
      <name val="Calibri"/>
      <family val="2"/>
      <charset val="161"/>
    </font>
    <font>
      <sz val="9"/>
      <name val="Calibri"/>
      <family val="2"/>
      <charset val="161"/>
    </font>
    <font>
      <b/>
      <sz val="11"/>
      <name val="Calibri"/>
      <family val="2"/>
      <charset val="161"/>
      <scheme val="minor"/>
    </font>
    <font>
      <sz val="10"/>
      <color theme="0" tint="-0.499984740745262"/>
      <name val="Calibri"/>
      <family val="2"/>
      <charset val="161"/>
      <scheme val="minor"/>
    </font>
    <font>
      <b/>
      <sz val="9"/>
      <color theme="1"/>
      <name val="Calibri"/>
      <family val="2"/>
      <charset val="161"/>
      <scheme val="minor"/>
    </font>
    <font>
      <i/>
      <sz val="8"/>
      <color theme="1"/>
      <name val="Calibri"/>
      <family val="2"/>
      <charset val="161"/>
      <scheme val="minor"/>
    </font>
    <font>
      <i/>
      <sz val="6"/>
      <color theme="1"/>
      <name val="Calibri"/>
      <family val="2"/>
      <charset val="161"/>
      <scheme val="minor"/>
    </font>
    <font>
      <b/>
      <sz val="9"/>
      <color theme="2" tint="-0.89999084444715716"/>
      <name val="Calibri"/>
      <family val="2"/>
      <charset val="161"/>
      <scheme val="minor"/>
    </font>
    <font>
      <sz val="11"/>
      <color theme="2" tint="-0.749992370372631"/>
      <name val="Calibri"/>
      <family val="2"/>
      <charset val="161"/>
      <scheme val="minor"/>
    </font>
    <font>
      <i/>
      <sz val="7"/>
      <color theme="5" tint="-0.499984740745262"/>
      <name val="Calibri"/>
      <family val="2"/>
      <charset val="161"/>
      <scheme val="minor"/>
    </font>
    <font>
      <b/>
      <u/>
      <sz val="9"/>
      <color theme="6" tint="-0.499984740745262"/>
      <name val="Calibri"/>
      <family val="2"/>
      <charset val="161"/>
      <scheme val="minor"/>
    </font>
    <font>
      <i/>
      <sz val="10"/>
      <color theme="5" tint="-0.499984740745262"/>
      <name val="Calibri"/>
      <family val="2"/>
      <charset val="161"/>
      <scheme val="minor"/>
    </font>
    <font>
      <i/>
      <sz val="9"/>
      <color rgb="FFFF0000"/>
      <name val="Calibri"/>
      <family val="2"/>
      <charset val="161"/>
      <scheme val="minor"/>
    </font>
    <font>
      <i/>
      <sz val="9"/>
      <color theme="5" tint="-0.499984740745262"/>
      <name val="Calibri"/>
      <family val="2"/>
      <charset val="161"/>
      <scheme val="minor"/>
    </font>
    <font>
      <b/>
      <sz val="12"/>
      <color theme="1"/>
      <name val="Calibri"/>
      <family val="2"/>
      <charset val="161"/>
      <scheme val="minor"/>
    </font>
    <font>
      <sz val="11"/>
      <color theme="3" tint="-0.249977111117893"/>
      <name val="Calibri"/>
      <family val="2"/>
      <charset val="161"/>
      <scheme val="minor"/>
    </font>
    <font>
      <sz val="8"/>
      <color theme="3" tint="-0.249977111117893"/>
      <name val="Calibri"/>
      <family val="2"/>
      <charset val="161"/>
      <scheme val="minor"/>
    </font>
    <font>
      <sz val="11"/>
      <color theme="2" tint="-0.89999084444715716"/>
      <name val="Calibri"/>
      <family val="2"/>
      <charset val="161"/>
      <scheme val="minor"/>
    </font>
    <font>
      <sz val="10"/>
      <color theme="2" tint="-0.89999084444715716"/>
      <name val="Calibri"/>
      <family val="2"/>
      <charset val="161"/>
      <scheme val="minor"/>
    </font>
    <font>
      <b/>
      <sz val="9"/>
      <color theme="3" tint="-0.249977111117893"/>
      <name val="Calibri"/>
      <family val="2"/>
      <charset val="161"/>
      <scheme val="minor"/>
    </font>
    <font>
      <vertAlign val="superscript"/>
      <sz val="9"/>
      <color theme="3" tint="-0.249977111117893"/>
      <name val="Calibri"/>
      <family val="2"/>
      <charset val="161"/>
      <scheme val="minor"/>
    </font>
  </fonts>
  <fills count="15">
    <fill>
      <patternFill patternType="none"/>
    </fill>
    <fill>
      <patternFill patternType="gray125"/>
    </fill>
    <fill>
      <patternFill patternType="solid">
        <fgColor rgb="FFF2F6EA"/>
        <bgColor indexed="64"/>
      </patternFill>
    </fill>
    <fill>
      <patternFill patternType="solid">
        <fgColor theme="2"/>
        <bgColor indexed="64"/>
      </patternFill>
    </fill>
    <fill>
      <patternFill patternType="solid">
        <fgColor theme="1" tint="0.34998626667073579"/>
        <bgColor indexed="64"/>
      </patternFill>
    </fill>
    <fill>
      <patternFill patternType="solid">
        <fgColor rgb="FFFFC000"/>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E7EDF5"/>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4F2EC"/>
        <bgColor indexed="64"/>
      </patternFill>
    </fill>
  </fills>
  <borders count="77">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theme="7" tint="-0.499984740745262"/>
      </top>
      <bottom/>
      <diagonal/>
    </border>
    <border>
      <left style="double">
        <color theme="7" tint="-0.499984740745262"/>
      </left>
      <right/>
      <top/>
      <bottom/>
      <diagonal/>
    </border>
    <border>
      <left style="double">
        <color theme="7" tint="-0.499984740745262"/>
      </left>
      <right style="thin">
        <color indexed="64"/>
      </right>
      <top/>
      <bottom/>
      <diagonal/>
    </border>
    <border>
      <left/>
      <right style="double">
        <color theme="7" tint="-0.499984740745262"/>
      </right>
      <top/>
      <bottom/>
      <diagonal/>
    </border>
    <border>
      <left/>
      <right/>
      <top/>
      <bottom style="dashDotDot">
        <color theme="0" tint="-0.24994659260841701"/>
      </bottom>
      <diagonal/>
    </border>
    <border>
      <left/>
      <right/>
      <top style="thin">
        <color indexed="64"/>
      </top>
      <bottom style="dashDotDot">
        <color theme="0" tint="-0.24994659260841701"/>
      </bottom>
      <diagonal/>
    </border>
    <border>
      <left/>
      <right style="thin">
        <color indexed="64"/>
      </right>
      <top style="thin">
        <color indexed="64"/>
      </top>
      <bottom style="dashDotDot">
        <color theme="0" tint="-0.24994659260841701"/>
      </bottom>
      <diagonal/>
    </border>
    <border>
      <left style="dashDotDot">
        <color theme="0" tint="-0.24994659260841701"/>
      </left>
      <right/>
      <top/>
      <bottom/>
      <diagonal/>
    </border>
    <border>
      <left style="dashDotDot">
        <color indexed="64"/>
      </left>
      <right/>
      <top style="thin">
        <color indexed="64"/>
      </top>
      <bottom/>
      <diagonal/>
    </border>
    <border>
      <left style="dashDotDot">
        <color indexed="64"/>
      </left>
      <right/>
      <top/>
      <bottom/>
      <diagonal/>
    </border>
    <border>
      <left style="dashDot">
        <color indexed="64"/>
      </left>
      <right style="dashDot">
        <color indexed="64"/>
      </right>
      <top style="dashDot">
        <color indexed="64"/>
      </top>
      <bottom style="thin">
        <color indexed="64"/>
      </bottom>
      <diagonal/>
    </border>
    <border>
      <left style="thin">
        <color indexed="64"/>
      </left>
      <right/>
      <top style="thin">
        <color indexed="64"/>
      </top>
      <bottom style="dashDotDot">
        <color theme="0" tint="-0.24994659260841701"/>
      </bottom>
      <diagonal/>
    </border>
    <border>
      <left style="double">
        <color theme="7" tint="-0.499984740745262"/>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style="thin">
        <color theme="2" tint="-0.499984740745262"/>
      </right>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style="thin">
        <color theme="2" tint="-0.499984740745262"/>
      </right>
      <top style="dashed">
        <color theme="2" tint="-0.499984740745262"/>
      </top>
      <bottom style="thin">
        <color theme="2" tint="-0.499984740745262"/>
      </bottom>
      <diagonal/>
    </border>
    <border>
      <left style="thin">
        <color theme="2" tint="-0.499984740745262"/>
      </left>
      <right style="dashed">
        <color theme="2" tint="-0.499984740745262"/>
      </right>
      <top style="dashed">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style="thin">
        <color theme="2" tint="-0.499984740745262"/>
      </top>
      <bottom/>
      <diagonal/>
    </border>
    <border>
      <left/>
      <right/>
      <top/>
      <bottom style="thick">
        <color theme="2" tint="-0.499984740745262"/>
      </bottom>
      <diagonal/>
    </border>
    <border>
      <left style="thick">
        <color theme="2" tint="-0.499984740745262"/>
      </left>
      <right/>
      <top/>
      <bottom style="thin">
        <color theme="2" tint="-0.499984740745262"/>
      </bottom>
      <diagonal/>
    </border>
    <border>
      <left style="dashDotDot">
        <color theme="1" tint="0.499984740745262"/>
      </left>
      <right/>
      <top/>
      <bottom/>
      <diagonal/>
    </border>
    <border>
      <left style="dashDotDot">
        <color theme="0" tint="-0.34998626667073579"/>
      </left>
      <right/>
      <top/>
      <bottom/>
      <diagonal/>
    </border>
    <border>
      <left style="thick">
        <color theme="2" tint="-0.499984740745262"/>
      </left>
      <right/>
      <top style="thick">
        <color theme="2" tint="-0.499984740745262"/>
      </top>
      <bottom/>
      <diagonal/>
    </border>
    <border>
      <left/>
      <right/>
      <top style="thick">
        <color theme="2" tint="-0.499984740745262"/>
      </top>
      <bottom/>
      <diagonal/>
    </border>
    <border>
      <left/>
      <right style="thick">
        <color theme="2" tint="-0.499984740745262"/>
      </right>
      <top style="thick">
        <color theme="2" tint="-0.499984740745262"/>
      </top>
      <bottom style="thin">
        <color theme="2" tint="-0.499984740745262"/>
      </bottom>
      <diagonal/>
    </border>
    <border>
      <left style="thick">
        <color theme="2" tint="-0.499984740745262"/>
      </left>
      <right style="thin">
        <color theme="2" tint="-0.499984740745262"/>
      </right>
      <top style="thin">
        <color theme="2" tint="-0.499984740745262"/>
      </top>
      <bottom style="thin">
        <color theme="2" tint="-0.499984740745262"/>
      </bottom>
      <diagonal/>
    </border>
    <border>
      <left/>
      <right style="thick">
        <color theme="2" tint="-0.499984740745262"/>
      </right>
      <top/>
      <bottom style="thick">
        <color theme="2" tint="-0.499984740745262"/>
      </bottom>
      <diagonal/>
    </border>
    <border>
      <left/>
      <right/>
      <top style="thin">
        <color theme="2" tint="-0.499984740745262"/>
      </top>
      <bottom style="thin">
        <color theme="2" tint="-0.499984740745262"/>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style="thick">
        <color theme="2" tint="-0.499984740745262"/>
      </right>
      <top style="thick">
        <color theme="2" tint="-0.499984740745262"/>
      </top>
      <bottom/>
      <diagonal/>
    </border>
    <border>
      <left style="double">
        <color theme="2" tint="-0.499984740745262"/>
      </left>
      <right/>
      <top/>
      <bottom style="thick">
        <color theme="2" tint="-0.499984740745262"/>
      </bottom>
      <diagonal/>
    </border>
    <border>
      <left style="dashDotDot">
        <color theme="1" tint="0.34998626667073579"/>
      </left>
      <right/>
      <top/>
      <bottom/>
      <diagonal/>
    </border>
    <border>
      <left style="double">
        <color theme="2" tint="-0.499984740745262"/>
      </left>
      <right/>
      <top style="thick">
        <color theme="2" tint="-0.499984740745262"/>
      </top>
      <bottom style="dashed">
        <color theme="2" tint="-0.499984740745262"/>
      </bottom>
      <diagonal/>
    </border>
    <border>
      <left/>
      <right style="dashed">
        <color theme="2" tint="-0.499984740745262"/>
      </right>
      <top style="thick">
        <color theme="2" tint="-0.499984740745262"/>
      </top>
      <bottom style="dashed">
        <color theme="2" tint="-0.499984740745262"/>
      </bottom>
      <diagonal/>
    </border>
    <border>
      <left style="thick">
        <color theme="2" tint="-0.499984740745262"/>
      </left>
      <right style="thin">
        <color theme="2" tint="-0.499984740745262"/>
      </right>
      <top style="thick">
        <color theme="2" tint="-0.499984740745262"/>
      </top>
      <bottom style="thick">
        <color theme="2" tint="-0.499984740745262"/>
      </bottom>
      <diagonal/>
    </border>
    <border>
      <left style="thin">
        <color theme="2" tint="-0.499984740745262"/>
      </left>
      <right style="thick">
        <color theme="2" tint="-0.499984740745262"/>
      </right>
      <top style="thick">
        <color theme="2" tint="-0.499984740745262"/>
      </top>
      <bottom style="thick">
        <color theme="2" tint="-0.499984740745262"/>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dashDotDot">
        <color theme="0" tint="-0.34998626667073579"/>
      </right>
      <top style="thin">
        <color indexed="64"/>
      </top>
      <bottom/>
      <diagonal/>
    </border>
    <border>
      <left/>
      <right style="dashDotDot">
        <color theme="0" tint="-0.34998626667073579"/>
      </right>
      <top/>
      <bottom style="thin">
        <color indexed="64"/>
      </bottom>
      <diagonal/>
    </border>
    <border>
      <left/>
      <right style="dashDotDot">
        <color theme="0" tint="-0.34998626667073579"/>
      </right>
      <top/>
      <bottom/>
      <diagonal/>
    </border>
    <border>
      <left/>
      <right/>
      <top style="thin">
        <color theme="2" tint="-0.499984740745262"/>
      </top>
      <bottom/>
      <diagonal/>
    </border>
    <border>
      <left/>
      <right style="thin">
        <color theme="2" tint="-0.499984740745262"/>
      </right>
      <top style="thin">
        <color theme="2" tint="-0.499984740745262"/>
      </top>
      <bottom/>
      <diagonal/>
    </border>
  </borders>
  <cellStyleXfs count="3">
    <xf numFmtId="0" fontId="0" fillId="0" borderId="0"/>
    <xf numFmtId="0" fontId="60" fillId="0" borderId="0" applyNumberFormat="0" applyFill="0" applyBorder="0" applyAlignment="0" applyProtection="0">
      <alignment vertical="top"/>
      <protection locked="0"/>
    </xf>
    <xf numFmtId="43" fontId="94" fillId="0" borderId="0" applyFont="0" applyFill="0" applyBorder="0" applyAlignment="0" applyProtection="0"/>
  </cellStyleXfs>
  <cellXfs count="997">
    <xf numFmtId="0" fontId="0" fillId="0" borderId="0" xfId="0"/>
    <xf numFmtId="0" fontId="8" fillId="3" borderId="0" xfId="0" applyFont="1" applyFill="1"/>
    <xf numFmtId="0" fontId="8" fillId="3" borderId="0" xfId="0" applyFont="1" applyFill="1" applyBorder="1"/>
    <xf numFmtId="0" fontId="9" fillId="3" borderId="0" xfId="0" applyFont="1" applyFill="1"/>
    <xf numFmtId="0" fontId="8" fillId="3" borderId="0" xfId="0" applyFont="1" applyFill="1" applyAlignment="1">
      <alignment horizontal="center"/>
    </xf>
    <xf numFmtId="1" fontId="8" fillId="3" borderId="0" xfId="0" applyNumberFormat="1" applyFont="1" applyFill="1" applyAlignment="1">
      <alignment horizontal="center"/>
    </xf>
    <xf numFmtId="165" fontId="8" fillId="3" borderId="0" xfId="0" applyNumberFormat="1" applyFont="1" applyFill="1" applyAlignment="1">
      <alignment horizontal="center"/>
    </xf>
    <xf numFmtId="0" fontId="8" fillId="3" borderId="13" xfId="0" applyFont="1" applyFill="1" applyBorder="1" applyAlignment="1">
      <alignment horizontal="center" vertical="center"/>
    </xf>
    <xf numFmtId="0" fontId="8" fillId="3" borderId="13" xfId="0" applyFont="1" applyFill="1" applyBorder="1"/>
    <xf numFmtId="2" fontId="8" fillId="3" borderId="13" xfId="0" applyNumberFormat="1" applyFont="1" applyFill="1" applyBorder="1" applyAlignment="1">
      <alignment horizontal="center"/>
    </xf>
    <xf numFmtId="2" fontId="8" fillId="3" borderId="7" xfId="0" applyNumberFormat="1" applyFont="1" applyFill="1" applyBorder="1" applyAlignment="1">
      <alignment horizontal="center"/>
    </xf>
    <xf numFmtId="0" fontId="8" fillId="3" borderId="9" xfId="0" applyFont="1" applyFill="1" applyBorder="1" applyAlignment="1">
      <alignment horizontal="center" vertical="center"/>
    </xf>
    <xf numFmtId="2" fontId="8" fillId="3" borderId="13" xfId="0" applyNumberFormat="1" applyFont="1" applyFill="1" applyBorder="1" applyAlignment="1">
      <alignment horizontal="center" vertical="center"/>
    </xf>
    <xf numFmtId="2" fontId="8" fillId="3" borderId="7" xfId="0" applyNumberFormat="1" applyFont="1" applyFill="1" applyBorder="1" applyAlignment="1">
      <alignment horizontal="center" vertical="center"/>
    </xf>
    <xf numFmtId="0" fontId="8" fillId="3" borderId="0" xfId="0" applyFont="1" applyFill="1" applyBorder="1" applyAlignment="1">
      <alignment horizontal="center" vertical="center"/>
    </xf>
    <xf numFmtId="0" fontId="18" fillId="3" borderId="0" xfId="0" applyNumberFormat="1" applyFont="1" applyFill="1" applyBorder="1" applyAlignment="1" applyProtection="1">
      <alignment horizontal="center" vertical="top"/>
    </xf>
    <xf numFmtId="0" fontId="11" fillId="3" borderId="0" xfId="0" applyNumberFormat="1" applyFont="1" applyFill="1" applyBorder="1" applyAlignment="1" applyProtection="1">
      <alignment vertical="top"/>
    </xf>
    <xf numFmtId="0" fontId="11" fillId="3" borderId="14" xfId="0" applyNumberFormat="1" applyFont="1" applyFill="1" applyBorder="1" applyAlignment="1" applyProtection="1">
      <alignment horizontal="left" vertical="top" indent="3"/>
    </xf>
    <xf numFmtId="0" fontId="11" fillId="3" borderId="13" xfId="0" applyNumberFormat="1" applyFont="1" applyFill="1" applyBorder="1" applyAlignment="1" applyProtection="1">
      <alignment horizontal="center" vertical="top"/>
    </xf>
    <xf numFmtId="2" fontId="11" fillId="3" borderId="13" xfId="0" applyNumberFormat="1" applyFont="1" applyFill="1" applyBorder="1" applyAlignment="1" applyProtection="1">
      <alignment horizontal="center" vertical="top"/>
    </xf>
    <xf numFmtId="0" fontId="11" fillId="3" borderId="2" xfId="0" applyNumberFormat="1" applyFont="1" applyFill="1" applyBorder="1" applyAlignment="1" applyProtection="1">
      <alignment horizontal="left" vertical="top" indent="3"/>
    </xf>
    <xf numFmtId="0" fontId="11" fillId="3" borderId="15" xfId="0" applyNumberFormat="1" applyFont="1" applyFill="1" applyBorder="1" applyAlignment="1" applyProtection="1">
      <alignment horizontal="left" vertical="top" indent="3"/>
    </xf>
    <xf numFmtId="2" fontId="11" fillId="3" borderId="13" xfId="0" applyNumberFormat="1" applyFont="1" applyFill="1" applyBorder="1" applyAlignment="1" applyProtection="1">
      <alignment horizontal="left" vertical="top" indent="2"/>
    </xf>
    <xf numFmtId="0" fontId="16" fillId="3" borderId="0" xfId="0" applyNumberFormat="1" applyFont="1" applyFill="1" applyBorder="1" applyAlignment="1" applyProtection="1">
      <alignment horizontal="left" vertical="top"/>
    </xf>
    <xf numFmtId="0" fontId="18" fillId="3" borderId="13" xfId="0" applyNumberFormat="1" applyFont="1" applyFill="1" applyBorder="1" applyAlignment="1" applyProtection="1">
      <alignment horizontal="center" vertical="top"/>
    </xf>
    <xf numFmtId="0" fontId="11" fillId="3" borderId="14" xfId="0" applyNumberFormat="1" applyFont="1" applyFill="1" applyBorder="1" applyAlignment="1" applyProtection="1">
      <alignment horizontal="center" vertical="top"/>
    </xf>
    <xf numFmtId="0" fontId="11" fillId="3" borderId="15" xfId="0" applyNumberFormat="1" applyFont="1" applyFill="1" applyBorder="1" applyAlignment="1" applyProtection="1">
      <alignment horizontal="center" vertical="top"/>
    </xf>
    <xf numFmtId="1" fontId="8" fillId="3" borderId="13" xfId="0" applyNumberFormat="1" applyFont="1" applyFill="1" applyBorder="1" applyAlignment="1">
      <alignment horizontal="center" vertical="center"/>
    </xf>
    <xf numFmtId="2" fontId="8" fillId="3" borderId="0" xfId="0" applyNumberFormat="1" applyFont="1" applyFill="1" applyBorder="1" applyAlignment="1">
      <alignment horizontal="center" vertical="center"/>
    </xf>
    <xf numFmtId="1" fontId="8" fillId="3" borderId="9" xfId="0" applyNumberFormat="1" applyFont="1" applyFill="1" applyBorder="1" applyAlignment="1">
      <alignment horizontal="center" vertical="center"/>
    </xf>
    <xf numFmtId="2" fontId="40" fillId="2" borderId="0" xfId="0" applyNumberFormat="1" applyFont="1" applyFill="1" applyAlignment="1" applyProtection="1"/>
    <xf numFmtId="2" fontId="1" fillId="2" borderId="0" xfId="0" applyNumberFormat="1" applyFont="1" applyFill="1" applyAlignment="1" applyProtection="1"/>
    <xf numFmtId="2" fontId="0" fillId="2" borderId="0" xfId="0" applyNumberFormat="1" applyFill="1" applyProtection="1"/>
    <xf numFmtId="2" fontId="39" fillId="2" borderId="0" xfId="0" applyNumberFormat="1" applyFont="1" applyFill="1" applyAlignment="1" applyProtection="1">
      <alignment vertical="top"/>
    </xf>
    <xf numFmtId="2" fontId="0" fillId="2" borderId="0" xfId="0" applyNumberFormat="1" applyFill="1" applyBorder="1" applyProtection="1"/>
    <xf numFmtId="2" fontId="0" fillId="2" borderId="27" xfId="0" applyNumberFormat="1" applyFill="1" applyBorder="1" applyAlignment="1" applyProtection="1"/>
    <xf numFmtId="2" fontId="0" fillId="2" borderId="27" xfId="0" applyNumberFormat="1" applyFill="1" applyBorder="1" applyProtection="1"/>
    <xf numFmtId="2" fontId="0" fillId="2" borderId="1" xfId="0" applyNumberFormat="1" applyFill="1" applyBorder="1" applyAlignment="1" applyProtection="1">
      <alignment horizontal="center"/>
    </xf>
    <xf numFmtId="2" fontId="4" fillId="2" borderId="1" xfId="0" applyNumberFormat="1" applyFont="1" applyFill="1" applyBorder="1" applyAlignment="1" applyProtection="1">
      <alignment horizontal="center"/>
    </xf>
    <xf numFmtId="2" fontId="5" fillId="2" borderId="15" xfId="0" applyNumberFormat="1" applyFont="1" applyFill="1" applyBorder="1" applyAlignment="1" applyProtection="1">
      <alignment horizontal="center"/>
    </xf>
    <xf numFmtId="2" fontId="12" fillId="2" borderId="15" xfId="0" applyNumberFormat="1" applyFont="1" applyFill="1" applyBorder="1" applyAlignment="1" applyProtection="1">
      <alignment horizontal="center"/>
    </xf>
    <xf numFmtId="2" fontId="12" fillId="2" borderId="2" xfId="0" applyNumberFormat="1" applyFont="1" applyFill="1" applyBorder="1" applyAlignment="1" applyProtection="1">
      <alignment horizontal="center"/>
    </xf>
    <xf numFmtId="2" fontId="3" fillId="2" borderId="5" xfId="0" applyNumberFormat="1" applyFont="1" applyFill="1" applyBorder="1" applyAlignment="1" applyProtection="1">
      <alignment horizontal="center"/>
    </xf>
    <xf numFmtId="2" fontId="3" fillId="2" borderId="1" xfId="0" applyNumberFormat="1" applyFont="1" applyFill="1" applyBorder="1" applyProtection="1"/>
    <xf numFmtId="2" fontId="4" fillId="2" borderId="2" xfId="0" applyNumberFormat="1" applyFont="1" applyFill="1" applyBorder="1" applyAlignment="1" applyProtection="1">
      <alignment horizontal="center"/>
    </xf>
    <xf numFmtId="2" fontId="2" fillId="2" borderId="0" xfId="0" applyNumberFormat="1" applyFont="1" applyFill="1" applyAlignment="1" applyProtection="1">
      <alignment horizontal="left"/>
    </xf>
    <xf numFmtId="2" fontId="0" fillId="2" borderId="0" xfId="0" applyNumberFormat="1" applyFill="1" applyAlignment="1" applyProtection="1">
      <alignment horizontal="center"/>
    </xf>
    <xf numFmtId="2" fontId="4" fillId="2" borderId="0" xfId="0" applyNumberFormat="1" applyFont="1" applyFill="1" applyAlignment="1" applyProtection="1">
      <alignment horizontal="center"/>
    </xf>
    <xf numFmtId="2" fontId="5" fillId="2" borderId="0" xfId="0" applyNumberFormat="1" applyFont="1" applyFill="1" applyBorder="1" applyAlignment="1" applyProtection="1">
      <alignment horizontal="center"/>
    </xf>
    <xf numFmtId="1" fontId="5" fillId="2" borderId="0" xfId="0" applyNumberFormat="1" applyFont="1" applyFill="1" applyBorder="1" applyAlignment="1" applyProtection="1">
      <alignment horizontal="center"/>
    </xf>
    <xf numFmtId="165" fontId="13" fillId="2" borderId="0" xfId="0" applyNumberFormat="1" applyFont="1" applyFill="1" applyBorder="1" applyAlignment="1" applyProtection="1">
      <alignment horizontal="center"/>
    </xf>
    <xf numFmtId="2" fontId="3" fillId="2" borderId="0" xfId="0" applyNumberFormat="1" applyFont="1" applyFill="1" applyBorder="1" applyAlignment="1" applyProtection="1">
      <alignment horizontal="center"/>
    </xf>
    <xf numFmtId="2" fontId="3" fillId="2" borderId="0" xfId="0" applyNumberFormat="1" applyFont="1" applyFill="1" applyBorder="1" applyProtection="1"/>
    <xf numFmtId="2" fontId="0" fillId="2" borderId="0" xfId="0" applyNumberFormat="1" applyFill="1" applyBorder="1" applyAlignment="1" applyProtection="1">
      <alignment horizontal="center"/>
    </xf>
    <xf numFmtId="2" fontId="4" fillId="2" borderId="0" xfId="0" applyNumberFormat="1" applyFont="1" applyFill="1" applyBorder="1" applyAlignment="1" applyProtection="1">
      <alignment horizontal="center"/>
    </xf>
    <xf numFmtId="1" fontId="0" fillId="2" borderId="0" xfId="0" applyNumberFormat="1" applyFill="1" applyBorder="1" applyAlignment="1" applyProtection="1">
      <alignment horizontal="center"/>
    </xf>
    <xf numFmtId="1" fontId="2" fillId="2" borderId="0" xfId="0" applyNumberFormat="1" applyFont="1" applyFill="1" applyAlignment="1" applyProtection="1">
      <alignment horizontal="left"/>
    </xf>
    <xf numFmtId="1" fontId="34" fillId="2" borderId="0" xfId="0" applyNumberFormat="1" applyFont="1" applyFill="1" applyBorder="1" applyAlignment="1" applyProtection="1">
      <alignment horizontal="center"/>
    </xf>
    <xf numFmtId="3" fontId="35" fillId="2" borderId="0" xfId="0" applyNumberFormat="1" applyFont="1" applyFill="1" applyBorder="1" applyAlignment="1" applyProtection="1">
      <alignment horizontal="center"/>
    </xf>
    <xf numFmtId="2" fontId="34" fillId="2" borderId="0" xfId="0" applyNumberFormat="1" applyFont="1" applyFill="1" applyBorder="1" applyAlignment="1" applyProtection="1">
      <alignment horizontal="left"/>
    </xf>
    <xf numFmtId="2" fontId="14" fillId="2" borderId="0" xfId="0" applyNumberFormat="1" applyFont="1" applyFill="1" applyAlignment="1" applyProtection="1"/>
    <xf numFmtId="2" fontId="14" fillId="2" borderId="0" xfId="0" applyNumberFormat="1" applyFont="1" applyFill="1" applyBorder="1" applyAlignment="1" applyProtection="1"/>
    <xf numFmtId="2" fontId="5" fillId="2" borderId="14" xfId="0" applyNumberFormat="1" applyFont="1" applyFill="1" applyBorder="1" applyAlignment="1" applyProtection="1">
      <alignment horizontal="center"/>
    </xf>
    <xf numFmtId="2" fontId="25" fillId="2" borderId="11" xfId="0" applyNumberFormat="1" applyFont="1" applyFill="1" applyBorder="1" applyAlignment="1" applyProtection="1">
      <alignment horizontal="center"/>
    </xf>
    <xf numFmtId="1" fontId="25" fillId="2" borderId="10" xfId="0" applyNumberFormat="1" applyFont="1" applyFill="1" applyBorder="1" applyAlignment="1" applyProtection="1">
      <alignment horizontal="center" vertical="center"/>
    </xf>
    <xf numFmtId="1" fontId="25" fillId="2" borderId="12" xfId="0" applyNumberFormat="1" applyFont="1" applyFill="1" applyBorder="1" applyAlignment="1" applyProtection="1">
      <alignment horizontal="center" vertical="center"/>
    </xf>
    <xf numFmtId="1" fontId="22" fillId="2" borderId="14" xfId="0" applyNumberFormat="1" applyFont="1" applyFill="1" applyBorder="1" applyAlignment="1" applyProtection="1">
      <alignment horizontal="center" vertical="center"/>
    </xf>
    <xf numFmtId="1" fontId="5" fillId="2" borderId="15" xfId="0" applyNumberFormat="1" applyFont="1" applyFill="1" applyBorder="1" applyAlignment="1" applyProtection="1">
      <alignment horizontal="center"/>
    </xf>
    <xf numFmtId="2" fontId="25" fillId="2" borderId="3" xfId="0" applyNumberFormat="1" applyFont="1" applyFill="1" applyBorder="1" applyAlignment="1" applyProtection="1">
      <alignment horizontal="center"/>
    </xf>
    <xf numFmtId="1" fontId="25" fillId="2" borderId="5" xfId="0" applyNumberFormat="1" applyFont="1" applyFill="1" applyBorder="1" applyAlignment="1" applyProtection="1">
      <alignment horizontal="center" vertical="center"/>
    </xf>
    <xf numFmtId="1" fontId="25" fillId="2" borderId="1" xfId="0" applyNumberFormat="1" applyFont="1" applyFill="1" applyBorder="1" applyAlignment="1" applyProtection="1">
      <alignment horizontal="center" vertical="center"/>
    </xf>
    <xf numFmtId="1" fontId="22" fillId="2" borderId="15" xfId="0" applyNumberFormat="1" applyFont="1" applyFill="1" applyBorder="1" applyAlignment="1" applyProtection="1">
      <alignment horizontal="center" vertical="center"/>
    </xf>
    <xf numFmtId="2" fontId="0" fillId="2" borderId="3" xfId="0" applyNumberFormat="1" applyFill="1" applyBorder="1" applyAlignment="1" applyProtection="1">
      <alignment horizontal="right"/>
    </xf>
    <xf numFmtId="1" fontId="0" fillId="2" borderId="3" xfId="0" applyNumberFormat="1" applyFill="1" applyBorder="1" applyAlignment="1" applyProtection="1">
      <alignment horizontal="right"/>
    </xf>
    <xf numFmtId="166" fontId="5" fillId="2" borderId="9" xfId="0" applyNumberFormat="1" applyFont="1" applyFill="1" applyBorder="1" applyAlignment="1" applyProtection="1">
      <alignment horizontal="center"/>
    </xf>
    <xf numFmtId="166" fontId="5" fillId="2" borderId="9" xfId="0" applyNumberFormat="1" applyFont="1" applyFill="1" applyBorder="1" applyProtection="1"/>
    <xf numFmtId="2" fontId="0" fillId="2" borderId="12" xfId="0" applyNumberFormat="1" applyFill="1" applyBorder="1" applyAlignment="1" applyProtection="1">
      <alignment horizontal="left"/>
    </xf>
    <xf numFmtId="2" fontId="0" fillId="2" borderId="7" xfId="0" applyNumberFormat="1" applyFill="1" applyBorder="1" applyProtection="1"/>
    <xf numFmtId="2" fontId="2" fillId="2" borderId="13" xfId="0" applyNumberFormat="1" applyFont="1" applyFill="1" applyBorder="1" applyProtection="1"/>
    <xf numFmtId="1" fontId="2" fillId="2" borderId="10" xfId="0" applyNumberFormat="1" applyFont="1" applyFill="1" applyBorder="1" applyAlignment="1" applyProtection="1">
      <alignment horizontal="left"/>
    </xf>
    <xf numFmtId="1" fontId="2" fillId="2" borderId="4" xfId="0" applyNumberFormat="1" applyFont="1" applyFill="1" applyBorder="1" applyAlignment="1" applyProtection="1">
      <alignment horizontal="left"/>
    </xf>
    <xf numFmtId="2" fontId="5" fillId="2" borderId="6" xfId="0" applyNumberFormat="1" applyFont="1" applyFill="1" applyBorder="1" applyAlignment="1" applyProtection="1">
      <alignment horizontal="center"/>
    </xf>
    <xf numFmtId="1" fontId="2" fillId="2" borderId="5" xfId="0" applyNumberFormat="1" applyFont="1" applyFill="1" applyBorder="1" applyAlignment="1" applyProtection="1">
      <alignment horizontal="left"/>
    </xf>
    <xf numFmtId="2" fontId="0" fillId="2" borderId="9" xfId="0" applyNumberFormat="1" applyFont="1" applyFill="1" applyBorder="1" applyAlignment="1" applyProtection="1">
      <alignment horizontal="center"/>
    </xf>
    <xf numFmtId="2" fontId="2" fillId="2" borderId="7" xfId="0" applyNumberFormat="1" applyFont="1" applyFill="1" applyBorder="1" applyProtection="1"/>
    <xf numFmtId="2" fontId="2" fillId="2" borderId="8" xfId="0" applyNumberFormat="1" applyFont="1" applyFill="1" applyBorder="1" applyAlignment="1" applyProtection="1">
      <alignment horizontal="center"/>
    </xf>
    <xf numFmtId="2" fontId="2" fillId="2" borderId="7" xfId="0" applyNumberFormat="1" applyFont="1" applyFill="1" applyBorder="1" applyAlignment="1" applyProtection="1">
      <alignment horizontal="center"/>
    </xf>
    <xf numFmtId="2" fontId="44" fillId="2" borderId="0" xfId="0" applyNumberFormat="1" applyFont="1" applyFill="1" applyBorder="1" applyAlignment="1" applyProtection="1">
      <alignment horizontal="center"/>
    </xf>
    <xf numFmtId="1" fontId="2" fillId="2" borderId="0" xfId="0" applyNumberFormat="1" applyFont="1" applyFill="1" applyBorder="1" applyAlignment="1" applyProtection="1"/>
    <xf numFmtId="166" fontId="44" fillId="2" borderId="0" xfId="0" applyNumberFormat="1" applyFont="1" applyFill="1" applyBorder="1" applyAlignment="1" applyProtection="1">
      <alignment horizontal="center" vertical="top"/>
    </xf>
    <xf numFmtId="2" fontId="46" fillId="2" borderId="0" xfId="0" applyNumberFormat="1" applyFont="1" applyFill="1" applyAlignment="1" applyProtection="1">
      <alignment horizontal="center"/>
    </xf>
    <xf numFmtId="2" fontId="8" fillId="2" borderId="7" xfId="0" applyNumberFormat="1" applyFont="1" applyFill="1" applyBorder="1" applyProtection="1"/>
    <xf numFmtId="2" fontId="8" fillId="2" borderId="11" xfId="0" applyNumberFormat="1" applyFont="1" applyFill="1" applyBorder="1" applyAlignment="1" applyProtection="1">
      <alignment horizontal="center"/>
    </xf>
    <xf numFmtId="2" fontId="46" fillId="2" borderId="0" xfId="0" applyNumberFormat="1" applyFont="1" applyFill="1" applyAlignment="1" applyProtection="1">
      <alignment horizontal="right" vertical="top"/>
    </xf>
    <xf numFmtId="2" fontId="46" fillId="2" borderId="0" xfId="0" applyNumberFormat="1" applyFont="1" applyFill="1" applyAlignment="1" applyProtection="1">
      <alignment horizontal="center" vertical="top"/>
    </xf>
    <xf numFmtId="2" fontId="12" fillId="2" borderId="14" xfId="0" applyNumberFormat="1" applyFont="1" applyFill="1" applyBorder="1" applyAlignment="1" applyProtection="1">
      <alignment horizontal="center"/>
    </xf>
    <xf numFmtId="2" fontId="2" fillId="2" borderId="9" xfId="0" applyNumberFormat="1" applyFont="1" applyFill="1" applyBorder="1" applyAlignment="1" applyProtection="1">
      <alignment horizontal="center"/>
    </xf>
    <xf numFmtId="2" fontId="12" fillId="2" borderId="7" xfId="0" applyNumberFormat="1" applyFont="1" applyFill="1" applyBorder="1" applyAlignment="1" applyProtection="1">
      <alignment horizontal="center"/>
    </xf>
    <xf numFmtId="2" fontId="12" fillId="2" borderId="8" xfId="0" applyNumberFormat="1" applyFont="1" applyFill="1" applyBorder="1" applyAlignment="1" applyProtection="1">
      <alignment horizontal="center"/>
    </xf>
    <xf numFmtId="2" fontId="8" fillId="2" borderId="9" xfId="0" applyNumberFormat="1" applyFont="1" applyFill="1" applyBorder="1" applyAlignment="1" applyProtection="1">
      <alignment horizontal="center"/>
    </xf>
    <xf numFmtId="2" fontId="61" fillId="2" borderId="13" xfId="0" applyNumberFormat="1" applyFont="1" applyFill="1" applyBorder="1" applyAlignment="1" applyProtection="1">
      <alignment horizontal="center"/>
    </xf>
    <xf numFmtId="2" fontId="2" fillId="2" borderId="13" xfId="0" applyNumberFormat="1" applyFont="1" applyFill="1" applyBorder="1" applyAlignment="1" applyProtection="1">
      <alignment horizontal="center"/>
    </xf>
    <xf numFmtId="2" fontId="2" fillId="2" borderId="1" xfId="0" applyNumberFormat="1" applyFont="1" applyFill="1" applyBorder="1" applyAlignment="1" applyProtection="1">
      <alignment horizontal="center"/>
    </xf>
    <xf numFmtId="2" fontId="22" fillId="2" borderId="6" xfId="0" applyNumberFormat="1" applyFont="1" applyFill="1" applyBorder="1" applyAlignment="1" applyProtection="1">
      <alignment horizontal="center"/>
    </xf>
    <xf numFmtId="2" fontId="22" fillId="2" borderId="15" xfId="0" applyNumberFormat="1" applyFont="1" applyFill="1" applyBorder="1" applyAlignment="1" applyProtection="1">
      <alignment horizontal="center"/>
    </xf>
    <xf numFmtId="2" fontId="0" fillId="2" borderId="12" xfId="0" applyNumberFormat="1" applyFill="1" applyBorder="1" applyProtection="1"/>
    <xf numFmtId="2" fontId="2" fillId="2" borderId="0" xfId="0" applyNumberFormat="1" applyFont="1" applyFill="1" applyAlignment="1" applyProtection="1"/>
    <xf numFmtId="2" fontId="2" fillId="2" borderId="9" xfId="0" applyNumberFormat="1" applyFont="1" applyFill="1" applyBorder="1" applyAlignment="1" applyProtection="1">
      <alignment horizontal="center" vertical="top"/>
    </xf>
    <xf numFmtId="1" fontId="22" fillId="2" borderId="14" xfId="0" applyNumberFormat="1" applyFont="1" applyFill="1" applyBorder="1" applyAlignment="1" applyProtection="1">
      <alignment horizontal="center"/>
    </xf>
    <xf numFmtId="1" fontId="22" fillId="2" borderId="6" xfId="0" applyNumberFormat="1" applyFont="1" applyFill="1" applyBorder="1" applyAlignment="1" applyProtection="1">
      <alignment horizontal="center"/>
    </xf>
    <xf numFmtId="2" fontId="0" fillId="2" borderId="28" xfId="0" applyNumberFormat="1" applyFill="1" applyBorder="1" applyProtection="1"/>
    <xf numFmtId="0" fontId="2" fillId="2" borderId="0" xfId="0" applyFont="1" applyFill="1" applyProtection="1"/>
    <xf numFmtId="2" fontId="26" fillId="2" borderId="0" xfId="0" applyNumberFormat="1" applyFont="1" applyFill="1" applyAlignment="1" applyProtection="1">
      <alignment horizontal="center" vertical="top"/>
    </xf>
    <xf numFmtId="0" fontId="79" fillId="5" borderId="0" xfId="0" applyFont="1" applyFill="1" applyAlignment="1" applyProtection="1">
      <alignment vertical="center"/>
    </xf>
    <xf numFmtId="2" fontId="65" fillId="2" borderId="0" xfId="0" applyNumberFormat="1" applyFont="1" applyFill="1" applyAlignment="1" applyProtection="1">
      <alignment horizontal="center"/>
    </xf>
    <xf numFmtId="2" fontId="13" fillId="2" borderId="0" xfId="0" applyNumberFormat="1" applyFont="1" applyFill="1" applyProtection="1"/>
    <xf numFmtId="2" fontId="0" fillId="0" borderId="0" xfId="0" applyNumberFormat="1" applyFill="1" applyAlignment="1" applyProtection="1">
      <alignment horizontal="center"/>
    </xf>
    <xf numFmtId="2" fontId="0" fillId="0" borderId="0" xfId="0" applyNumberFormat="1" applyFill="1" applyBorder="1" applyAlignment="1" applyProtection="1">
      <alignment horizontal="center"/>
    </xf>
    <xf numFmtId="2" fontId="2" fillId="0" borderId="0" xfId="0" applyNumberFormat="1" applyFont="1" applyFill="1" applyAlignment="1" applyProtection="1">
      <alignment horizontal="left"/>
    </xf>
    <xf numFmtId="1" fontId="5" fillId="0" borderId="6" xfId="0" applyNumberFormat="1" applyFont="1" applyFill="1" applyBorder="1" applyAlignment="1" applyProtection="1">
      <alignment horizontal="center"/>
    </xf>
    <xf numFmtId="2" fontId="0" fillId="2" borderId="3" xfId="0" applyNumberFormat="1" applyFill="1" applyBorder="1" applyAlignment="1" applyProtection="1">
      <alignment horizontal="center"/>
    </xf>
    <xf numFmtId="2" fontId="0" fillId="0" borderId="4" xfId="0" applyNumberFormat="1" applyFill="1" applyBorder="1" applyAlignment="1" applyProtection="1">
      <alignment horizontal="center"/>
    </xf>
    <xf numFmtId="2" fontId="0" fillId="0" borderId="3" xfId="0" applyNumberFormat="1" applyFill="1" applyBorder="1" applyAlignment="1" applyProtection="1">
      <alignment horizontal="center"/>
    </xf>
    <xf numFmtId="2" fontId="3" fillId="0" borderId="4" xfId="0" applyNumberFormat="1" applyFont="1" applyFill="1" applyBorder="1" applyAlignment="1" applyProtection="1">
      <alignment horizontal="center"/>
    </xf>
    <xf numFmtId="2" fontId="4" fillId="2" borderId="3" xfId="0" applyNumberFormat="1" applyFont="1" applyFill="1" applyBorder="1" applyAlignment="1" applyProtection="1">
      <alignment horizontal="center"/>
    </xf>
    <xf numFmtId="1" fontId="5" fillId="0" borderId="9" xfId="0" applyNumberFormat="1" applyFont="1" applyFill="1" applyBorder="1" applyAlignment="1" applyProtection="1">
      <alignment horizontal="center"/>
    </xf>
    <xf numFmtId="1" fontId="0" fillId="0" borderId="3" xfId="0" applyNumberFormat="1" applyFill="1" applyBorder="1" applyAlignment="1" applyProtection="1">
      <alignment horizontal="right"/>
    </xf>
    <xf numFmtId="1" fontId="0" fillId="0" borderId="2" xfId="0" applyNumberFormat="1" applyFill="1" applyBorder="1" applyAlignment="1" applyProtection="1">
      <alignment horizontal="center"/>
    </xf>
    <xf numFmtId="2" fontId="2" fillId="0" borderId="12" xfId="0" applyNumberFormat="1" applyFont="1" applyFill="1" applyBorder="1" applyAlignment="1" applyProtection="1">
      <alignment horizontal="left"/>
    </xf>
    <xf numFmtId="2" fontId="0" fillId="0" borderId="12" xfId="0" applyNumberFormat="1" applyFill="1" applyBorder="1" applyAlignment="1" applyProtection="1">
      <alignment horizontal="center"/>
    </xf>
    <xf numFmtId="2" fontId="0" fillId="0" borderId="10" xfId="0" applyNumberFormat="1" applyFill="1" applyBorder="1" applyAlignment="1" applyProtection="1">
      <alignment horizontal="center"/>
    </xf>
    <xf numFmtId="2" fontId="0" fillId="0" borderId="11" xfId="0" applyNumberFormat="1" applyFill="1" applyBorder="1" applyAlignment="1" applyProtection="1">
      <alignment horizontal="center"/>
    </xf>
    <xf numFmtId="2" fontId="2" fillId="0" borderId="1" xfId="0" applyNumberFormat="1" applyFont="1" applyFill="1" applyBorder="1" applyAlignment="1" applyProtection="1">
      <alignment horizontal="left"/>
    </xf>
    <xf numFmtId="2" fontId="0" fillId="0" borderId="1" xfId="0" applyNumberFormat="1" applyFill="1" applyBorder="1" applyAlignment="1" applyProtection="1">
      <alignment horizontal="center"/>
    </xf>
    <xf numFmtId="2" fontId="0" fillId="0" borderId="5" xfId="0" applyNumberFormat="1" applyFill="1" applyBorder="1" applyAlignment="1" applyProtection="1">
      <alignment horizontal="center"/>
    </xf>
    <xf numFmtId="2" fontId="0" fillId="0" borderId="2" xfId="0" applyNumberFormat="1" applyFill="1" applyBorder="1" applyAlignment="1" applyProtection="1">
      <alignment horizontal="center"/>
    </xf>
    <xf numFmtId="2" fontId="8" fillId="0" borderId="11" xfId="0" applyNumberFormat="1" applyFont="1" applyFill="1" applyBorder="1" applyProtection="1"/>
    <xf numFmtId="1" fontId="0" fillId="0" borderId="12" xfId="0" applyNumberFormat="1" applyFill="1" applyBorder="1" applyAlignment="1" applyProtection="1">
      <alignment horizontal="center"/>
    </xf>
    <xf numFmtId="2" fontId="8" fillId="0" borderId="2" xfId="0" applyNumberFormat="1" applyFont="1" applyFill="1" applyBorder="1" applyProtection="1"/>
    <xf numFmtId="1" fontId="0" fillId="0" borderId="1" xfId="0" applyNumberFormat="1" applyFill="1" applyBorder="1" applyAlignment="1" applyProtection="1">
      <alignment horizontal="center"/>
    </xf>
    <xf numFmtId="2" fontId="2" fillId="0" borderId="9" xfId="0" applyNumberFormat="1" applyFont="1" applyFill="1" applyBorder="1" applyAlignment="1" applyProtection="1">
      <alignment horizontal="center"/>
    </xf>
    <xf numFmtId="2" fontId="2" fillId="0" borderId="8" xfId="0" applyNumberFormat="1" applyFont="1" applyFill="1" applyBorder="1" applyAlignment="1" applyProtection="1">
      <alignment horizontal="center"/>
    </xf>
    <xf numFmtId="2" fontId="2" fillId="0" borderId="15" xfId="0" applyNumberFormat="1" applyFont="1" applyFill="1" applyBorder="1" applyAlignment="1" applyProtection="1">
      <alignment horizontal="center"/>
    </xf>
    <xf numFmtId="1" fontId="8" fillId="0" borderId="4" xfId="0" applyNumberFormat="1" applyFont="1" applyFill="1" applyBorder="1" applyAlignment="1" applyProtection="1">
      <alignment horizontal="center"/>
    </xf>
    <xf numFmtId="2" fontId="0" fillId="0" borderId="14" xfId="0" applyNumberFormat="1" applyFill="1" applyBorder="1" applyAlignment="1" applyProtection="1">
      <alignment horizontal="center"/>
    </xf>
    <xf numFmtId="1" fontId="8" fillId="0" borderId="5" xfId="0" applyNumberFormat="1" applyFont="1" applyFill="1" applyBorder="1" applyAlignment="1" applyProtection="1">
      <alignment horizontal="center"/>
    </xf>
    <xf numFmtId="2" fontId="0" fillId="0" borderId="15" xfId="0" applyNumberFormat="1" applyFill="1" applyBorder="1" applyAlignment="1" applyProtection="1">
      <alignment horizontal="center"/>
    </xf>
    <xf numFmtId="165" fontId="8" fillId="0" borderId="6" xfId="0" applyNumberFormat="1" applyFont="1" applyFill="1" applyBorder="1" applyAlignment="1" applyProtection="1">
      <alignment horizontal="center"/>
    </xf>
    <xf numFmtId="165" fontId="8" fillId="0" borderId="15" xfId="0" applyNumberFormat="1" applyFont="1" applyFill="1" applyBorder="1" applyAlignment="1" applyProtection="1">
      <alignment horizontal="center"/>
    </xf>
    <xf numFmtId="2" fontId="0" fillId="2" borderId="1" xfId="0" applyNumberFormat="1" applyFill="1" applyBorder="1" applyAlignment="1" applyProtection="1">
      <alignment horizontal="center"/>
    </xf>
    <xf numFmtId="2" fontId="0" fillId="2" borderId="5" xfId="0" applyNumberFormat="1" applyFill="1" applyBorder="1" applyAlignment="1" applyProtection="1">
      <alignment horizontal="center"/>
    </xf>
    <xf numFmtId="2" fontId="0" fillId="2" borderId="2" xfId="0" applyNumberFormat="1" applyFill="1" applyBorder="1" applyAlignment="1" applyProtection="1">
      <alignment horizontal="center"/>
    </xf>
    <xf numFmtId="2" fontId="0" fillId="0" borderId="4" xfId="0" applyNumberFormat="1" applyFill="1" applyBorder="1" applyAlignment="1" applyProtection="1">
      <alignment horizontal="center"/>
    </xf>
    <xf numFmtId="2" fontId="0" fillId="2" borderId="0" xfId="0" applyNumberFormat="1" applyFill="1" applyBorder="1" applyAlignment="1" applyProtection="1">
      <alignment horizontal="center"/>
    </xf>
    <xf numFmtId="2" fontId="8" fillId="2" borderId="10" xfId="0" applyNumberFormat="1" applyFont="1" applyFill="1" applyBorder="1" applyAlignment="1" applyProtection="1">
      <alignment horizontal="right" indent="1"/>
    </xf>
    <xf numFmtId="2" fontId="2" fillId="2" borderId="4" xfId="0" applyNumberFormat="1" applyFont="1" applyFill="1" applyBorder="1" applyAlignment="1" applyProtection="1">
      <alignment horizontal="right" indent="1"/>
    </xf>
    <xf numFmtId="2" fontId="2" fillId="2" borderId="5" xfId="0" applyNumberFormat="1" applyFont="1" applyFill="1" applyBorder="1" applyAlignment="1" applyProtection="1">
      <alignment horizontal="right" indent="1"/>
    </xf>
    <xf numFmtId="1" fontId="5" fillId="2" borderId="1" xfId="0" applyNumberFormat="1" applyFont="1" applyFill="1" applyBorder="1" applyAlignment="1" applyProtection="1">
      <alignment horizontal="center"/>
    </xf>
    <xf numFmtId="2" fontId="2" fillId="2" borderId="15" xfId="0" applyNumberFormat="1" applyFont="1" applyFill="1" applyBorder="1" applyAlignment="1" applyProtection="1">
      <alignment horizontal="center"/>
    </xf>
    <xf numFmtId="2" fontId="0" fillId="2" borderId="31" xfId="0" applyNumberFormat="1" applyFill="1" applyBorder="1" applyAlignment="1" applyProtection="1">
      <alignment horizontal="center"/>
    </xf>
    <xf numFmtId="2" fontId="0" fillId="2" borderId="1" xfId="0" applyNumberFormat="1" applyFill="1" applyBorder="1" applyAlignment="1" applyProtection="1">
      <alignment horizontal="center"/>
    </xf>
    <xf numFmtId="1" fontId="2" fillId="2" borderId="0" xfId="0" applyNumberFormat="1" applyFont="1" applyFill="1" applyBorder="1" applyAlignment="1" applyProtection="1">
      <alignment horizontal="left"/>
    </xf>
    <xf numFmtId="2" fontId="0" fillId="0" borderId="32" xfId="0" applyNumberFormat="1" applyFill="1" applyBorder="1" applyAlignment="1" applyProtection="1">
      <alignment horizontal="center"/>
    </xf>
    <xf numFmtId="2" fontId="0" fillId="0" borderId="33" xfId="0" applyNumberFormat="1" applyFill="1" applyBorder="1" applyAlignment="1" applyProtection="1">
      <alignment horizontal="center"/>
    </xf>
    <xf numFmtId="2" fontId="0" fillId="2" borderId="34" xfId="0" applyNumberFormat="1" applyFill="1" applyBorder="1" applyAlignment="1" applyProtection="1">
      <alignment horizontal="center"/>
    </xf>
    <xf numFmtId="2" fontId="88" fillId="0" borderId="0" xfId="0" applyNumberFormat="1" applyFont="1" applyFill="1" applyBorder="1" applyAlignment="1" applyProtection="1">
      <alignment horizontal="center"/>
    </xf>
    <xf numFmtId="2" fontId="11" fillId="3" borderId="7" xfId="0" applyNumberFormat="1" applyFont="1" applyFill="1" applyBorder="1" applyAlignment="1" applyProtection="1">
      <alignment horizontal="left" vertical="top" indent="2"/>
    </xf>
    <xf numFmtId="2" fontId="11" fillId="3" borderId="9" xfId="0" applyNumberFormat="1" applyFont="1" applyFill="1" applyBorder="1" applyAlignment="1" applyProtection="1">
      <alignment horizontal="left" vertical="top" indent="2"/>
    </xf>
    <xf numFmtId="2" fontId="11" fillId="3" borderId="0" xfId="0" applyNumberFormat="1" applyFont="1" applyFill="1" applyBorder="1" applyAlignment="1" applyProtection="1">
      <alignment horizontal="left" vertical="top" indent="2"/>
    </xf>
    <xf numFmtId="1" fontId="23" fillId="2" borderId="13" xfId="0" applyNumberFormat="1" applyFont="1" applyFill="1" applyBorder="1" applyAlignment="1" applyProtection="1">
      <alignment horizontal="center"/>
    </xf>
    <xf numFmtId="0" fontId="8" fillId="3" borderId="0" xfId="0" applyFont="1" applyFill="1" applyAlignment="1">
      <alignment horizontal="center"/>
    </xf>
    <xf numFmtId="0" fontId="8" fillId="3" borderId="13" xfId="0" applyFont="1" applyFill="1" applyBorder="1" applyAlignment="1">
      <alignment horizontal="center"/>
    </xf>
    <xf numFmtId="0" fontId="8" fillId="7" borderId="0" xfId="0" applyFont="1" applyFill="1"/>
    <xf numFmtId="0" fontId="0" fillId="7" borderId="0" xfId="0" applyFont="1" applyFill="1"/>
    <xf numFmtId="0" fontId="0" fillId="3" borderId="13" xfId="0" applyFont="1" applyFill="1" applyBorder="1" applyAlignment="1">
      <alignment horizontal="center"/>
    </xf>
    <xf numFmtId="0" fontId="96" fillId="7" borderId="0" xfId="0" applyFont="1" applyFill="1"/>
    <xf numFmtId="0" fontId="96" fillId="7" borderId="0" xfId="0" applyFont="1" applyFill="1" applyAlignment="1">
      <alignment vertical="top"/>
    </xf>
    <xf numFmtId="0" fontId="0" fillId="3" borderId="13" xfId="0" applyFill="1" applyBorder="1" applyAlignment="1">
      <alignment horizontal="center"/>
    </xf>
    <xf numFmtId="0" fontId="1" fillId="3" borderId="13" xfId="0" applyFont="1" applyFill="1" applyBorder="1" applyAlignment="1">
      <alignment horizontal="center"/>
    </xf>
    <xf numFmtId="2" fontId="13" fillId="8" borderId="0" xfId="0" applyNumberFormat="1" applyFont="1" applyFill="1" applyBorder="1" applyProtection="1"/>
    <xf numFmtId="2" fontId="98" fillId="8" borderId="6" xfId="0" applyNumberFormat="1" applyFont="1" applyFill="1" applyBorder="1" applyAlignment="1" applyProtection="1">
      <alignment horizontal="center" vertical="center"/>
    </xf>
    <xf numFmtId="2" fontId="98" fillId="8" borderId="0" xfId="0" applyNumberFormat="1" applyFont="1" applyFill="1" applyBorder="1" applyAlignment="1" applyProtection="1">
      <alignment horizontal="center" vertical="center"/>
    </xf>
    <xf numFmtId="2" fontId="98" fillId="8" borderId="15" xfId="0" applyNumberFormat="1" applyFont="1" applyFill="1" applyBorder="1" applyAlignment="1" applyProtection="1">
      <alignment horizontal="center" vertical="center"/>
    </xf>
    <xf numFmtId="2" fontId="98" fillId="8" borderId="1" xfId="0" applyNumberFormat="1" applyFont="1" applyFill="1" applyBorder="1" applyAlignment="1" applyProtection="1">
      <alignment horizontal="center" vertical="center"/>
    </xf>
    <xf numFmtId="165" fontId="20" fillId="8" borderId="0" xfId="0" applyNumberFormat="1" applyFont="1" applyFill="1" applyBorder="1" applyAlignment="1" applyProtection="1">
      <alignment horizontal="center"/>
    </xf>
    <xf numFmtId="1" fontId="20" fillId="8" borderId="0" xfId="0" applyNumberFormat="1" applyFont="1" applyFill="1" applyBorder="1" applyAlignment="1" applyProtection="1">
      <alignment horizontal="center"/>
    </xf>
    <xf numFmtId="2" fontId="13" fillId="8" borderId="0" xfId="0" applyNumberFormat="1" applyFont="1" applyFill="1" applyBorder="1" applyAlignment="1" applyProtection="1">
      <alignment horizontal="center"/>
    </xf>
    <xf numFmtId="2" fontId="92" fillId="8" borderId="4" xfId="0" applyNumberFormat="1" applyFont="1" applyFill="1" applyBorder="1" applyAlignment="1" applyProtection="1">
      <alignment horizontal="center" vertical="center"/>
    </xf>
    <xf numFmtId="2" fontId="92" fillId="8" borderId="0" xfId="0" applyNumberFormat="1" applyFont="1" applyFill="1" applyBorder="1" applyAlignment="1" applyProtection="1">
      <alignment horizontal="center" vertical="center"/>
    </xf>
    <xf numFmtId="2" fontId="0" fillId="8" borderId="0" xfId="0" applyNumberFormat="1" applyFill="1" applyBorder="1" applyProtection="1"/>
    <xf numFmtId="0" fontId="0" fillId="8" borderId="0" xfId="0" applyFill="1" applyProtection="1"/>
    <xf numFmtId="2" fontId="0" fillId="8" borderId="0" xfId="0" applyNumberFormat="1" applyFill="1" applyProtection="1"/>
    <xf numFmtId="2" fontId="92" fillId="8" borderId="25" xfId="0" applyNumberFormat="1" applyFont="1" applyFill="1" applyBorder="1" applyAlignment="1" applyProtection="1">
      <alignment horizontal="center" vertical="center"/>
    </xf>
    <xf numFmtId="2" fontId="8" fillId="8" borderId="0" xfId="0" applyNumberFormat="1" applyFont="1" applyFill="1" applyAlignment="1" applyProtection="1">
      <alignment horizontal="center" vertical="center"/>
    </xf>
    <xf numFmtId="2" fontId="9" fillId="8" borderId="0" xfId="0" applyNumberFormat="1" applyFont="1" applyFill="1" applyAlignment="1" applyProtection="1">
      <alignment horizontal="center" vertical="center"/>
    </xf>
    <xf numFmtId="2" fontId="8" fillId="8" borderId="16" xfId="0" applyNumberFormat="1" applyFont="1" applyFill="1" applyBorder="1" applyAlignment="1" applyProtection="1">
      <alignment horizontal="center" vertical="center"/>
    </xf>
    <xf numFmtId="2" fontId="8" fillId="8" borderId="19" xfId="0" applyNumberFormat="1" applyFont="1" applyFill="1" applyBorder="1" applyAlignment="1" applyProtection="1">
      <alignment horizontal="center" vertical="center"/>
    </xf>
    <xf numFmtId="2" fontId="23" fillId="8" borderId="0" xfId="0" applyNumberFormat="1" applyFont="1" applyFill="1" applyBorder="1" applyAlignment="1" applyProtection="1">
      <alignment horizontal="center" vertical="center" wrapText="1"/>
    </xf>
    <xf numFmtId="2" fontId="30" fillId="8" borderId="0" xfId="0" applyNumberFormat="1" applyFont="1" applyFill="1" applyBorder="1" applyAlignment="1" applyProtection="1">
      <alignment horizontal="center" vertical="center" wrapText="1"/>
    </xf>
    <xf numFmtId="2" fontId="8" fillId="8" borderId="21" xfId="0" applyNumberFormat="1" applyFont="1" applyFill="1" applyBorder="1" applyAlignment="1" applyProtection="1">
      <alignment horizontal="center" vertical="center"/>
    </xf>
    <xf numFmtId="168" fontId="30" fillId="8" borderId="0" xfId="0" applyNumberFormat="1" applyFont="1" applyFill="1" applyBorder="1" applyAlignment="1" applyProtection="1">
      <alignment horizontal="center" vertical="center" wrapText="1"/>
    </xf>
    <xf numFmtId="168" fontId="8" fillId="8" borderId="0" xfId="0" applyNumberFormat="1" applyFont="1" applyFill="1" applyAlignment="1" applyProtection="1">
      <alignment horizontal="center" vertical="center"/>
    </xf>
    <xf numFmtId="168" fontId="8" fillId="8" borderId="0" xfId="2" applyNumberFormat="1" applyFont="1" applyFill="1" applyAlignment="1" applyProtection="1">
      <alignment horizontal="center" vertical="center"/>
    </xf>
    <xf numFmtId="2" fontId="92" fillId="8" borderId="3" xfId="0" applyNumberFormat="1" applyFont="1" applyFill="1" applyBorder="1" applyAlignment="1" applyProtection="1">
      <alignment horizontal="center" vertical="center"/>
    </xf>
    <xf numFmtId="2" fontId="98" fillId="8" borderId="26" xfId="0" applyNumberFormat="1" applyFont="1" applyFill="1" applyBorder="1" applyAlignment="1" applyProtection="1">
      <alignment horizontal="center" vertical="center"/>
    </xf>
    <xf numFmtId="2" fontId="98" fillId="8" borderId="3" xfId="0" applyNumberFormat="1" applyFont="1" applyFill="1" applyBorder="1" applyAlignment="1" applyProtection="1">
      <alignment horizontal="center" vertical="center"/>
    </xf>
    <xf numFmtId="2" fontId="98" fillId="8" borderId="4" xfId="0" applyNumberFormat="1" applyFont="1" applyFill="1" applyBorder="1" applyAlignment="1" applyProtection="1">
      <alignment horizontal="center" vertical="center"/>
    </xf>
    <xf numFmtId="2" fontId="92" fillId="8" borderId="5" xfId="0" applyNumberFormat="1" applyFont="1" applyFill="1" applyBorder="1" applyAlignment="1" applyProtection="1">
      <alignment horizontal="center" vertical="center"/>
    </xf>
    <xf numFmtId="2" fontId="92" fillId="8" borderId="1" xfId="0" applyNumberFormat="1" applyFont="1" applyFill="1" applyBorder="1" applyAlignment="1" applyProtection="1">
      <alignment horizontal="center" vertical="center"/>
    </xf>
    <xf numFmtId="2" fontId="92" fillId="8" borderId="2" xfId="0" applyNumberFormat="1" applyFont="1" applyFill="1" applyBorder="1" applyAlignment="1" applyProtection="1">
      <alignment horizontal="center" vertical="center"/>
    </xf>
    <xf numFmtId="165" fontId="20" fillId="8" borderId="25" xfId="0" applyNumberFormat="1" applyFont="1" applyFill="1" applyBorder="1" applyAlignment="1" applyProtection="1">
      <alignment horizontal="center"/>
    </xf>
    <xf numFmtId="2" fontId="13" fillId="8" borderId="25" xfId="0" applyNumberFormat="1" applyFont="1" applyFill="1" applyBorder="1" applyProtection="1"/>
    <xf numFmtId="1" fontId="2" fillId="8" borderId="25" xfId="0" applyNumberFormat="1" applyFont="1" applyFill="1" applyBorder="1" applyAlignment="1" applyProtection="1"/>
    <xf numFmtId="1" fontId="2" fillId="8" borderId="0" xfId="0" applyNumberFormat="1" applyFont="1" applyFill="1" applyBorder="1" applyAlignment="1" applyProtection="1"/>
    <xf numFmtId="2" fontId="13" fillId="8" borderId="0" xfId="0" applyNumberFormat="1" applyFont="1" applyFill="1" applyProtection="1"/>
    <xf numFmtId="2" fontId="0" fillId="8" borderId="24" xfId="0" applyNumberFormat="1" applyFill="1" applyBorder="1" applyProtection="1"/>
    <xf numFmtId="0" fontId="2" fillId="8" borderId="24" xfId="0" applyFont="1" applyFill="1" applyBorder="1" applyProtection="1"/>
    <xf numFmtId="0" fontId="2" fillId="8" borderId="0" xfId="0" applyFont="1" applyFill="1" applyBorder="1" applyProtection="1"/>
    <xf numFmtId="0" fontId="2" fillId="8" borderId="0" xfId="0" applyFont="1" applyFill="1" applyProtection="1"/>
    <xf numFmtId="2" fontId="92" fillId="8" borderId="10" xfId="0" applyNumberFormat="1" applyFont="1" applyFill="1" applyBorder="1" applyAlignment="1" applyProtection="1">
      <alignment horizontal="center" vertical="center"/>
    </xf>
    <xf numFmtId="2" fontId="92" fillId="8" borderId="12" xfId="0" applyNumberFormat="1" applyFont="1" applyFill="1" applyBorder="1" applyAlignment="1" applyProtection="1">
      <alignment horizontal="center" vertical="center"/>
    </xf>
    <xf numFmtId="2" fontId="92" fillId="8" borderId="11" xfId="0" applyNumberFormat="1" applyFont="1" applyFill="1" applyBorder="1" applyAlignment="1" applyProtection="1">
      <alignment horizontal="center" vertical="center"/>
    </xf>
    <xf numFmtId="2" fontId="100" fillId="8" borderId="25" xfId="0" applyNumberFormat="1" applyFont="1" applyFill="1" applyBorder="1" applyAlignment="1" applyProtection="1">
      <alignment horizontal="center" vertical="top"/>
    </xf>
    <xf numFmtId="2" fontId="100" fillId="8" borderId="25" xfId="0" applyNumberFormat="1" applyFont="1" applyFill="1" applyBorder="1" applyAlignment="1" applyProtection="1">
      <alignment horizontal="center"/>
    </xf>
    <xf numFmtId="0" fontId="0" fillId="0" borderId="0" xfId="0" applyFill="1" applyProtection="1">
      <protection hidden="1"/>
    </xf>
    <xf numFmtId="0" fontId="1" fillId="0" borderId="0" xfId="0" applyFont="1" applyFill="1" applyProtection="1">
      <protection hidden="1"/>
    </xf>
    <xf numFmtId="2" fontId="0" fillId="2" borderId="0" xfId="0" quotePrefix="1" applyNumberFormat="1" applyFill="1" applyProtection="1"/>
    <xf numFmtId="2" fontId="23" fillId="3" borderId="39" xfId="0" applyNumberFormat="1" applyFont="1" applyFill="1" applyBorder="1" applyAlignment="1" applyProtection="1">
      <alignment vertical="center"/>
    </xf>
    <xf numFmtId="2" fontId="23" fillId="3" borderId="38" xfId="0" applyNumberFormat="1" applyFont="1" applyFill="1" applyBorder="1" applyAlignment="1" applyProtection="1">
      <alignment horizontal="center" vertical="top"/>
    </xf>
    <xf numFmtId="2" fontId="0" fillId="2" borderId="1" xfId="0" applyNumberFormat="1" applyFill="1" applyBorder="1" applyAlignment="1" applyProtection="1">
      <alignment horizontal="left"/>
    </xf>
    <xf numFmtId="0" fontId="0" fillId="0" borderId="0" xfId="0" applyFont="1" applyFill="1" applyProtection="1">
      <protection hidden="1"/>
    </xf>
    <xf numFmtId="0" fontId="1" fillId="2" borderId="0" xfId="0" applyFont="1" applyFill="1" applyProtection="1">
      <protection hidden="1"/>
    </xf>
    <xf numFmtId="0" fontId="0" fillId="2" borderId="0" xfId="0" applyFill="1" applyProtection="1">
      <protection hidden="1"/>
    </xf>
    <xf numFmtId="0" fontId="0" fillId="2" borderId="0" xfId="0" applyFont="1" applyFill="1" applyProtection="1">
      <protection hidden="1"/>
    </xf>
    <xf numFmtId="2" fontId="5" fillId="2" borderId="2" xfId="0" applyNumberFormat="1" applyFont="1" applyFill="1" applyBorder="1" applyAlignment="1" applyProtection="1">
      <alignment horizontal="center"/>
    </xf>
    <xf numFmtId="1" fontId="5" fillId="0" borderId="3" xfId="0" applyNumberFormat="1" applyFont="1" applyFill="1" applyBorder="1" applyAlignment="1" applyProtection="1">
      <alignment horizontal="center"/>
    </xf>
    <xf numFmtId="2" fontId="5" fillId="2" borderId="40" xfId="0" applyNumberFormat="1" applyFont="1" applyFill="1" applyBorder="1" applyAlignment="1" applyProtection="1">
      <alignment horizontal="center"/>
    </xf>
    <xf numFmtId="2" fontId="5" fillId="3" borderId="46" xfId="0" applyNumberFormat="1" applyFont="1" applyFill="1" applyBorder="1" applyAlignment="1" applyProtection="1">
      <alignment horizontal="center"/>
    </xf>
    <xf numFmtId="2" fontId="5" fillId="2" borderId="5" xfId="0" applyNumberFormat="1" applyFont="1" applyFill="1" applyBorder="1" applyAlignment="1" applyProtection="1">
      <alignment horizontal="center"/>
    </xf>
    <xf numFmtId="2" fontId="5" fillId="2" borderId="4" xfId="0" applyNumberFormat="1" applyFont="1" applyFill="1" applyBorder="1" applyAlignment="1" applyProtection="1">
      <alignment horizontal="center"/>
    </xf>
    <xf numFmtId="1" fontId="0" fillId="0" borderId="41" xfId="0" applyNumberFormat="1" applyFill="1" applyBorder="1" applyAlignment="1" applyProtection="1">
      <alignment horizontal="center"/>
    </xf>
    <xf numFmtId="2" fontId="0" fillId="3" borderId="47" xfId="0" applyNumberFormat="1" applyFill="1" applyBorder="1" applyAlignment="1" applyProtection="1">
      <alignment horizontal="center"/>
    </xf>
    <xf numFmtId="2" fontId="0" fillId="2" borderId="0" xfId="0" applyNumberFormat="1" applyFont="1" applyFill="1" applyBorder="1" applyProtection="1"/>
    <xf numFmtId="2" fontId="109" fillId="2" borderId="4" xfId="0" applyNumberFormat="1" applyFont="1" applyFill="1" applyBorder="1" applyAlignment="1" applyProtection="1"/>
    <xf numFmtId="2" fontId="109" fillId="2" borderId="4" xfId="0" applyNumberFormat="1" applyFont="1" applyFill="1" applyBorder="1" applyAlignment="1" applyProtection="1">
      <alignment vertical="center"/>
    </xf>
    <xf numFmtId="2" fontId="109" fillId="2" borderId="4" xfId="0" applyNumberFormat="1" applyFont="1" applyFill="1" applyBorder="1" applyAlignment="1" applyProtection="1">
      <alignment vertical="top"/>
    </xf>
    <xf numFmtId="2" fontId="25" fillId="0" borderId="0" xfId="0" applyNumberFormat="1" applyFont="1" applyFill="1" applyBorder="1" applyAlignment="1" applyProtection="1">
      <alignment horizontal="center"/>
    </xf>
    <xf numFmtId="1" fontId="24" fillId="0" borderId="0" xfId="0" applyNumberFormat="1" applyFont="1" applyFill="1" applyBorder="1" applyAlignment="1" applyProtection="1">
      <alignment horizontal="center"/>
    </xf>
    <xf numFmtId="165" fontId="48" fillId="0" borderId="9" xfId="0" applyNumberFormat="1" applyFont="1" applyFill="1" applyBorder="1" applyAlignment="1" applyProtection="1">
      <alignment horizontal="center"/>
    </xf>
    <xf numFmtId="165" fontId="0" fillId="2" borderId="9" xfId="0" applyNumberFormat="1" applyFill="1" applyBorder="1" applyAlignment="1" applyProtection="1">
      <alignment horizontal="right"/>
    </xf>
    <xf numFmtId="2" fontId="8" fillId="2" borderId="12" xfId="0" applyNumberFormat="1" applyFont="1" applyFill="1" applyBorder="1" applyAlignment="1" applyProtection="1">
      <alignment horizontal="center"/>
    </xf>
    <xf numFmtId="2" fontId="46" fillId="2" borderId="1" xfId="0" applyNumberFormat="1" applyFont="1" applyFill="1" applyBorder="1" applyAlignment="1" applyProtection="1">
      <alignment vertical="top"/>
    </xf>
    <xf numFmtId="2" fontId="29" fillId="2" borderId="0" xfId="0" applyNumberFormat="1" applyFont="1" applyFill="1" applyBorder="1" applyAlignment="1" applyProtection="1">
      <alignment horizontal="center"/>
    </xf>
    <xf numFmtId="166" fontId="29" fillId="2" borderId="0" xfId="0" applyNumberFormat="1" applyFont="1" applyFill="1" applyBorder="1" applyAlignment="1" applyProtection="1">
      <alignment horizontal="center"/>
    </xf>
    <xf numFmtId="2" fontId="8" fillId="2" borderId="10" xfId="0" applyNumberFormat="1" applyFont="1" applyFill="1" applyBorder="1" applyAlignment="1" applyProtection="1">
      <alignment horizontal="center"/>
    </xf>
    <xf numFmtId="2" fontId="8" fillId="2" borderId="14" xfId="0" applyNumberFormat="1" applyFont="1" applyFill="1" applyBorder="1" applyAlignment="1" applyProtection="1">
      <alignment horizontal="center"/>
    </xf>
    <xf numFmtId="166" fontId="0" fillId="0" borderId="14" xfId="0" quotePrefix="1" applyNumberFormat="1" applyFill="1" applyBorder="1" applyAlignment="1" applyProtection="1">
      <alignment horizontal="center"/>
    </xf>
    <xf numFmtId="166" fontId="0" fillId="0" borderId="15" xfId="0" quotePrefix="1" applyNumberFormat="1" applyFill="1" applyBorder="1" applyAlignment="1" applyProtection="1">
      <alignment horizontal="center"/>
    </xf>
    <xf numFmtId="2" fontId="0" fillId="0" borderId="2" xfId="0" quotePrefix="1" applyNumberFormat="1" applyFill="1" applyBorder="1" applyAlignment="1" applyProtection="1">
      <alignment horizontal="center"/>
    </xf>
    <xf numFmtId="166" fontId="23" fillId="2" borderId="14" xfId="0" applyNumberFormat="1" applyFont="1" applyFill="1" applyBorder="1" applyAlignment="1" applyProtection="1">
      <alignment horizontal="center"/>
    </xf>
    <xf numFmtId="166" fontId="23" fillId="2" borderId="15" xfId="0" applyNumberFormat="1" applyFont="1" applyFill="1" applyBorder="1" applyAlignment="1" applyProtection="1">
      <alignment horizontal="center"/>
    </xf>
    <xf numFmtId="2" fontId="0" fillId="2" borderId="52" xfId="0" applyNumberFormat="1" applyFill="1" applyBorder="1" applyProtection="1"/>
    <xf numFmtId="2" fontId="0" fillId="0" borderId="4" xfId="0" applyNumberFormat="1" applyFill="1" applyBorder="1" applyAlignment="1" applyProtection="1">
      <alignment horizontal="center"/>
    </xf>
    <xf numFmtId="2" fontId="0" fillId="2" borderId="0" xfId="0" applyNumberFormat="1" applyFill="1" applyBorder="1" applyAlignment="1" applyProtection="1">
      <alignment horizontal="left"/>
    </xf>
    <xf numFmtId="2" fontId="0" fillId="2" borderId="1" xfId="0" applyNumberFormat="1" applyFill="1" applyBorder="1" applyAlignment="1" applyProtection="1">
      <alignment horizontal="left"/>
    </xf>
    <xf numFmtId="2" fontId="0" fillId="0" borderId="1" xfId="0" applyNumberFormat="1" applyFill="1" applyBorder="1" applyAlignment="1" applyProtection="1">
      <alignment horizontal="center"/>
    </xf>
    <xf numFmtId="2" fontId="2" fillId="0" borderId="0" xfId="0" applyNumberFormat="1" applyFont="1" applyFill="1" applyBorder="1" applyAlignment="1" applyProtection="1">
      <alignment horizontal="left"/>
    </xf>
    <xf numFmtId="2" fontId="112" fillId="9" borderId="12" xfId="0" applyNumberFormat="1" applyFont="1" applyFill="1" applyBorder="1" applyAlignment="1" applyProtection="1">
      <alignment horizontal="center" vertical="center"/>
    </xf>
    <xf numFmtId="2" fontId="112" fillId="9" borderId="15" xfId="0" applyNumberFormat="1" applyFont="1" applyFill="1" applyBorder="1" applyAlignment="1" applyProtection="1">
      <alignment horizontal="center"/>
    </xf>
    <xf numFmtId="165" fontId="114" fillId="9" borderId="6" xfId="0" applyNumberFormat="1" applyFont="1" applyFill="1" applyBorder="1" applyAlignment="1" applyProtection="1">
      <alignment horizontal="center"/>
    </xf>
    <xf numFmtId="1" fontId="0" fillId="0" borderId="0" xfId="0" applyNumberFormat="1" applyFill="1" applyBorder="1" applyAlignment="1" applyProtection="1">
      <alignment horizontal="center"/>
    </xf>
    <xf numFmtId="2" fontId="4" fillId="0" borderId="0" xfId="0" applyNumberFormat="1" applyFont="1" applyFill="1" applyBorder="1" applyAlignment="1" applyProtection="1">
      <alignment horizontal="center"/>
    </xf>
    <xf numFmtId="1" fontId="0" fillId="0" borderId="0" xfId="0" quotePrefix="1" applyNumberFormat="1" applyFill="1" applyBorder="1" applyAlignment="1" applyProtection="1">
      <alignment horizontal="center"/>
    </xf>
    <xf numFmtId="2" fontId="108" fillId="2" borderId="0" xfId="0" applyNumberFormat="1" applyFont="1" applyFill="1" applyBorder="1" applyAlignment="1" applyProtection="1">
      <alignment horizontal="left"/>
    </xf>
    <xf numFmtId="2" fontId="61" fillId="3" borderId="0" xfId="0" applyNumberFormat="1" applyFont="1" applyFill="1" applyBorder="1" applyAlignment="1" applyProtection="1">
      <alignment horizontal="left"/>
    </xf>
    <xf numFmtId="2" fontId="24" fillId="3" borderId="0" xfId="0" applyNumberFormat="1" applyFont="1" applyFill="1" applyBorder="1" applyAlignment="1" applyProtection="1">
      <alignment horizontal="left"/>
    </xf>
    <xf numFmtId="2" fontId="61" fillId="3" borderId="41" xfId="0" applyNumberFormat="1" applyFont="1" applyFill="1" applyBorder="1" applyAlignment="1" applyProtection="1">
      <alignment horizontal="left"/>
    </xf>
    <xf numFmtId="2" fontId="24" fillId="3" borderId="41" xfId="0" applyNumberFormat="1" applyFont="1" applyFill="1" applyBorder="1" applyAlignment="1" applyProtection="1">
      <alignment horizontal="left"/>
    </xf>
    <xf numFmtId="1" fontId="24" fillId="0" borderId="42" xfId="0" applyNumberFormat="1" applyFont="1" applyFill="1" applyBorder="1" applyAlignment="1" applyProtection="1">
      <alignment horizontal="center"/>
    </xf>
    <xf numFmtId="2" fontId="25" fillId="0" borderId="42" xfId="0" applyNumberFormat="1" applyFont="1" applyFill="1" applyBorder="1" applyAlignment="1" applyProtection="1">
      <alignment horizontal="center"/>
    </xf>
    <xf numFmtId="2" fontId="3" fillId="0" borderId="37" xfId="0" applyNumberFormat="1" applyFont="1" applyFill="1" applyBorder="1" applyAlignment="1" applyProtection="1">
      <alignment horizontal="center" vertical="center"/>
    </xf>
    <xf numFmtId="165" fontId="5" fillId="3" borderId="38" xfId="0" applyNumberFormat="1" applyFont="1" applyFill="1" applyBorder="1" applyAlignment="1" applyProtection="1">
      <alignment horizontal="center" vertical="center"/>
    </xf>
    <xf numFmtId="2" fontId="82" fillId="4" borderId="60" xfId="0" applyNumberFormat="1" applyFont="1" applyFill="1" applyBorder="1" applyAlignment="1" applyProtection="1">
      <alignment horizontal="center"/>
    </xf>
    <xf numFmtId="2" fontId="2" fillId="2" borderId="8" xfId="0" applyNumberFormat="1" applyFont="1" applyFill="1" applyBorder="1" applyAlignment="1" applyProtection="1">
      <alignment horizontal="center"/>
    </xf>
    <xf numFmtId="2" fontId="2" fillId="2" borderId="9" xfId="0" applyNumberFormat="1" applyFont="1" applyFill="1" applyBorder="1" applyAlignment="1" applyProtection="1">
      <alignment horizontal="center"/>
    </xf>
    <xf numFmtId="2" fontId="24" fillId="3" borderId="42" xfId="0" applyNumberFormat="1" applyFont="1" applyFill="1" applyBorder="1" applyAlignment="1" applyProtection="1">
      <alignment horizontal="center" vertical="center"/>
    </xf>
    <xf numFmtId="2" fontId="5" fillId="2" borderId="0" xfId="0" applyNumberFormat="1" applyFont="1" applyFill="1" applyBorder="1" applyAlignment="1" applyProtection="1">
      <alignment horizontal="center"/>
    </xf>
    <xf numFmtId="1" fontId="2" fillId="2" borderId="0" xfId="0" applyNumberFormat="1" applyFont="1" applyFill="1" applyBorder="1" applyAlignment="1" applyProtection="1">
      <alignment horizontal="left"/>
    </xf>
    <xf numFmtId="2" fontId="0" fillId="2" borderId="0" xfId="0" applyNumberFormat="1" applyFill="1" applyBorder="1" applyAlignment="1" applyProtection="1">
      <alignment horizontal="center"/>
    </xf>
    <xf numFmtId="2" fontId="2" fillId="2" borderId="0" xfId="0" applyNumberFormat="1" applyFont="1" applyFill="1" applyBorder="1" applyAlignment="1" applyProtection="1">
      <alignment horizontal="left"/>
    </xf>
    <xf numFmtId="2" fontId="0" fillId="2" borderId="65" xfId="0" applyNumberFormat="1" applyFill="1" applyBorder="1" applyAlignment="1" applyProtection="1">
      <alignment horizontal="center"/>
    </xf>
    <xf numFmtId="0" fontId="0" fillId="3" borderId="0" xfId="0" applyFill="1" applyProtection="1">
      <protection hidden="1"/>
    </xf>
    <xf numFmtId="0" fontId="8" fillId="3" borderId="16" xfId="0" applyFont="1" applyFill="1" applyBorder="1" applyAlignment="1" applyProtection="1">
      <protection hidden="1"/>
    </xf>
    <xf numFmtId="0" fontId="8" fillId="3" borderId="17" xfId="0" applyFont="1" applyFill="1" applyBorder="1" applyAlignment="1" applyProtection="1">
      <protection hidden="1"/>
    </xf>
    <xf numFmtId="0" fontId="8" fillId="3" borderId="18" xfId="0" applyFont="1" applyFill="1" applyBorder="1" applyAlignment="1" applyProtection="1">
      <protection hidden="1"/>
    </xf>
    <xf numFmtId="0" fontId="0" fillId="3" borderId="16" xfId="0" applyFill="1" applyBorder="1" applyProtection="1">
      <protection hidden="1"/>
    </xf>
    <xf numFmtId="0" fontId="0" fillId="3" borderId="17" xfId="0" applyFill="1" applyBorder="1" applyProtection="1">
      <protection hidden="1"/>
    </xf>
    <xf numFmtId="0" fontId="0" fillId="3" borderId="18" xfId="0" applyFill="1" applyBorder="1" applyProtection="1">
      <protection hidden="1"/>
    </xf>
    <xf numFmtId="0" fontId="8" fillId="3" borderId="19" xfId="0" applyFont="1" applyFill="1" applyBorder="1" applyAlignment="1" applyProtection="1">
      <protection hidden="1"/>
    </xf>
    <xf numFmtId="0" fontId="8" fillId="3" borderId="0" xfId="0" applyFont="1" applyFill="1" applyBorder="1" applyAlignment="1" applyProtection="1">
      <protection hidden="1"/>
    </xf>
    <xf numFmtId="0" fontId="8" fillId="3" borderId="20" xfId="0" applyFont="1" applyFill="1" applyBorder="1" applyProtection="1">
      <protection hidden="1"/>
    </xf>
    <xf numFmtId="0" fontId="0" fillId="3" borderId="19" xfId="0" applyFill="1" applyBorder="1" applyProtection="1">
      <protection hidden="1"/>
    </xf>
    <xf numFmtId="0" fontId="0" fillId="3" borderId="0" xfId="0" applyFill="1" applyBorder="1" applyProtection="1">
      <protection hidden="1"/>
    </xf>
    <xf numFmtId="0" fontId="0" fillId="3" borderId="20" xfId="0" applyFill="1" applyBorder="1" applyProtection="1">
      <protection hidden="1"/>
    </xf>
    <xf numFmtId="0" fontId="8" fillId="3" borderId="21" xfId="0" applyFont="1" applyFill="1" applyBorder="1" applyAlignment="1" applyProtection="1">
      <protection hidden="1"/>
    </xf>
    <xf numFmtId="0" fontId="8" fillId="3" borderId="22" xfId="0" applyFont="1" applyFill="1" applyBorder="1" applyAlignment="1" applyProtection="1">
      <protection hidden="1"/>
    </xf>
    <xf numFmtId="0" fontId="8" fillId="3" borderId="23" xfId="0" applyFont="1" applyFill="1" applyBorder="1" applyProtection="1">
      <protection hidden="1"/>
    </xf>
    <xf numFmtId="0" fontId="0" fillId="3" borderId="21" xfId="0" applyFill="1" applyBorder="1" applyProtection="1">
      <protection hidden="1"/>
    </xf>
    <xf numFmtId="0" fontId="0" fillId="3" borderId="22" xfId="0" applyFill="1" applyBorder="1" applyProtection="1">
      <protection hidden="1"/>
    </xf>
    <xf numFmtId="0" fontId="21" fillId="3" borderId="23" xfId="0" applyFont="1" applyFill="1" applyBorder="1" applyProtection="1">
      <protection hidden="1"/>
    </xf>
    <xf numFmtId="0" fontId="0" fillId="3" borderId="7" xfId="0" applyFill="1" applyBorder="1" applyAlignment="1" applyProtection="1">
      <alignment horizontal="center"/>
      <protection hidden="1"/>
    </xf>
    <xf numFmtId="0" fontId="0" fillId="3" borderId="9" xfId="0" applyFill="1" applyBorder="1" applyAlignment="1" applyProtection="1">
      <alignment horizontal="center"/>
      <protection hidden="1"/>
    </xf>
    <xf numFmtId="0" fontId="0" fillId="3" borderId="10" xfId="0" applyFill="1" applyBorder="1" applyProtection="1">
      <protection hidden="1"/>
    </xf>
    <xf numFmtId="0" fontId="0" fillId="3" borderId="12" xfId="0" applyFill="1" applyBorder="1" applyProtection="1">
      <protection hidden="1"/>
    </xf>
    <xf numFmtId="0" fontId="0" fillId="3" borderId="11" xfId="0" applyFill="1" applyBorder="1" applyProtection="1">
      <protection hidden="1"/>
    </xf>
    <xf numFmtId="2" fontId="0" fillId="3" borderId="4" xfId="0" applyNumberFormat="1" applyFill="1" applyBorder="1" applyAlignment="1" applyProtection="1">
      <alignment horizontal="center"/>
      <protection hidden="1"/>
    </xf>
    <xf numFmtId="2" fontId="0" fillId="3" borderId="3" xfId="0" applyNumberFormat="1" applyFill="1" applyBorder="1" applyAlignment="1" applyProtection="1">
      <alignment horizontal="center"/>
      <protection hidden="1"/>
    </xf>
    <xf numFmtId="0" fontId="0" fillId="3" borderId="5" xfId="0" applyFill="1" applyBorder="1" applyProtection="1">
      <protection hidden="1"/>
    </xf>
    <xf numFmtId="0" fontId="0" fillId="3" borderId="1" xfId="0" applyFill="1" applyBorder="1" applyProtection="1">
      <protection hidden="1"/>
    </xf>
    <xf numFmtId="0" fontId="0" fillId="3" borderId="2" xfId="0" applyFill="1" applyBorder="1" applyProtection="1">
      <protection hidden="1"/>
    </xf>
    <xf numFmtId="0" fontId="0" fillId="3" borderId="4" xfId="0" applyFill="1" applyBorder="1" applyProtection="1">
      <protection hidden="1"/>
    </xf>
    <xf numFmtId="0" fontId="0" fillId="3" borderId="3" xfId="0" applyFill="1" applyBorder="1" applyProtection="1">
      <protection hidden="1"/>
    </xf>
    <xf numFmtId="2" fontId="0" fillId="3" borderId="5" xfId="0" applyNumberFormat="1" applyFill="1" applyBorder="1" applyAlignment="1" applyProtection="1">
      <alignment horizontal="center"/>
      <protection hidden="1"/>
    </xf>
    <xf numFmtId="2" fontId="0" fillId="3" borderId="2" xfId="0" applyNumberFormat="1" applyFill="1" applyBorder="1" applyAlignment="1" applyProtection="1">
      <alignment horizontal="center"/>
      <protection hidden="1"/>
    </xf>
    <xf numFmtId="0" fontId="8" fillId="3" borderId="14" xfId="0" applyFont="1" applyFill="1" applyBorder="1" applyAlignment="1" applyProtection="1">
      <alignment vertical="top" wrapText="1"/>
      <protection hidden="1"/>
    </xf>
    <xf numFmtId="0" fontId="8" fillId="3" borderId="6" xfId="0" applyFont="1" applyFill="1" applyBorder="1" applyAlignment="1" applyProtection="1">
      <alignment vertical="top" wrapText="1"/>
      <protection hidden="1"/>
    </xf>
    <xf numFmtId="0" fontId="8" fillId="3" borderId="15" xfId="0" applyFont="1" applyFill="1" applyBorder="1" applyAlignment="1" applyProtection="1">
      <alignment vertical="top" wrapText="1"/>
      <protection hidden="1"/>
    </xf>
    <xf numFmtId="1" fontId="0" fillId="3" borderId="10" xfId="0" applyNumberFormat="1" applyFill="1" applyBorder="1" applyProtection="1">
      <protection hidden="1"/>
    </xf>
    <xf numFmtId="165" fontId="0" fillId="3" borderId="13" xfId="0" applyNumberFormat="1" applyFill="1" applyBorder="1" applyAlignment="1" applyProtection="1">
      <alignment horizontal="center"/>
      <protection hidden="1"/>
    </xf>
    <xf numFmtId="1" fontId="0" fillId="3" borderId="4" xfId="0" applyNumberFormat="1" applyFill="1" applyBorder="1" applyProtection="1">
      <protection hidden="1"/>
    </xf>
    <xf numFmtId="2" fontId="0" fillId="3" borderId="5" xfId="0" applyNumberFormat="1" applyFill="1" applyBorder="1" applyProtection="1">
      <protection hidden="1"/>
    </xf>
    <xf numFmtId="0" fontId="1" fillId="3" borderId="0" xfId="0" applyFont="1" applyFill="1" applyAlignment="1" applyProtection="1">
      <alignment horizontal="center"/>
      <protection hidden="1"/>
    </xf>
    <xf numFmtId="2" fontId="0" fillId="3" borderId="0" xfId="0" applyNumberFormat="1" applyFill="1" applyProtection="1">
      <protection hidden="1"/>
    </xf>
    <xf numFmtId="2" fontId="61" fillId="3" borderId="10" xfId="0" applyNumberFormat="1" applyFont="1" applyFill="1" applyBorder="1" applyAlignment="1" applyProtection="1">
      <alignment horizontal="left"/>
    </xf>
    <xf numFmtId="2" fontId="24" fillId="3" borderId="12" xfId="0" applyNumberFormat="1" applyFont="1" applyFill="1" applyBorder="1" applyProtection="1"/>
    <xf numFmtId="2" fontId="61" fillId="3" borderId="12" xfId="0" applyNumberFormat="1" applyFont="1" applyFill="1" applyBorder="1" applyAlignment="1" applyProtection="1">
      <alignment horizontal="left"/>
    </xf>
    <xf numFmtId="2" fontId="24" fillId="3" borderId="11" xfId="0" applyNumberFormat="1" applyFont="1" applyFill="1" applyBorder="1" applyProtection="1"/>
    <xf numFmtId="2" fontId="24" fillId="3" borderId="4" xfId="0" applyNumberFormat="1" applyFont="1" applyFill="1" applyBorder="1" applyAlignment="1" applyProtection="1">
      <alignment horizontal="left"/>
    </xf>
    <xf numFmtId="2" fontId="24" fillId="3" borderId="0" xfId="0" applyNumberFormat="1" applyFont="1" applyFill="1" applyBorder="1" applyAlignment="1" applyProtection="1"/>
    <xf numFmtId="2" fontId="24" fillId="3" borderId="3" xfId="0" applyNumberFormat="1" applyFont="1" applyFill="1" applyBorder="1" applyAlignment="1" applyProtection="1"/>
    <xf numFmtId="2" fontId="61" fillId="3" borderId="4" xfId="0" applyNumberFormat="1" applyFont="1" applyFill="1" applyBorder="1" applyAlignment="1" applyProtection="1">
      <alignment horizontal="left"/>
    </xf>
    <xf numFmtId="2" fontId="25" fillId="3" borderId="0" xfId="0" applyNumberFormat="1" applyFont="1" applyFill="1" applyBorder="1" applyAlignment="1" applyProtection="1">
      <alignment horizontal="center"/>
    </xf>
    <xf numFmtId="2" fontId="25" fillId="3" borderId="3" xfId="0" applyNumberFormat="1" applyFont="1" applyFill="1" applyBorder="1" applyAlignment="1" applyProtection="1">
      <alignment horizontal="center"/>
    </xf>
    <xf numFmtId="2" fontId="3" fillId="3" borderId="2" xfId="0" applyNumberFormat="1" applyFont="1" applyFill="1" applyBorder="1" applyAlignment="1" applyProtection="1">
      <alignment vertical="center"/>
    </xf>
    <xf numFmtId="165" fontId="5" fillId="3" borderId="9" xfId="0" applyNumberFormat="1" applyFont="1" applyFill="1" applyBorder="1" applyAlignment="1" applyProtection="1">
      <alignment horizontal="center" vertical="center"/>
    </xf>
    <xf numFmtId="0" fontId="0" fillId="3" borderId="6" xfId="0" applyFill="1" applyBorder="1" applyProtection="1">
      <protection hidden="1"/>
    </xf>
    <xf numFmtId="2" fontId="0" fillId="3" borderId="1" xfId="0" applyNumberFormat="1" applyFill="1" applyBorder="1" applyProtection="1">
      <protection hidden="1"/>
    </xf>
    <xf numFmtId="2" fontId="0" fillId="3" borderId="5" xfId="0" applyNumberFormat="1" applyFill="1" applyBorder="1" applyAlignment="1" applyProtection="1">
      <alignment wrapText="1"/>
      <protection hidden="1"/>
    </xf>
    <xf numFmtId="2" fontId="0" fillId="3" borderId="2" xfId="0" applyNumberFormat="1" applyFill="1" applyBorder="1" applyAlignment="1" applyProtection="1">
      <alignment wrapText="1"/>
      <protection hidden="1"/>
    </xf>
    <xf numFmtId="0" fontId="0" fillId="3" borderId="15" xfId="0" applyFill="1" applyBorder="1" applyAlignment="1" applyProtection="1">
      <alignment wrapText="1"/>
      <protection hidden="1"/>
    </xf>
    <xf numFmtId="2" fontId="0" fillId="3" borderId="4" xfId="0" applyNumberFormat="1" applyFill="1" applyBorder="1" applyProtection="1">
      <protection hidden="1"/>
    </xf>
    <xf numFmtId="2" fontId="0" fillId="3" borderId="3" xfId="0" applyNumberFormat="1" applyFill="1" applyBorder="1" applyProtection="1">
      <protection hidden="1"/>
    </xf>
    <xf numFmtId="1" fontId="0" fillId="3" borderId="6" xfId="0" applyNumberFormat="1" applyFill="1" applyBorder="1" applyProtection="1">
      <protection hidden="1"/>
    </xf>
    <xf numFmtId="1" fontId="0" fillId="3" borderId="0" xfId="0" applyNumberFormat="1" applyFill="1" applyAlignment="1" applyProtection="1">
      <alignment horizontal="center"/>
      <protection hidden="1"/>
    </xf>
    <xf numFmtId="2" fontId="0" fillId="3" borderId="0" xfId="0" applyNumberFormat="1" applyFill="1" applyAlignment="1" applyProtection="1">
      <alignment horizontal="center"/>
      <protection hidden="1"/>
    </xf>
    <xf numFmtId="1" fontId="0" fillId="3" borderId="4" xfId="0" applyNumberFormat="1" applyFill="1" applyBorder="1" applyAlignment="1" applyProtection="1">
      <alignment horizontal="center"/>
      <protection hidden="1"/>
    </xf>
    <xf numFmtId="0" fontId="0" fillId="3" borderId="0" xfId="0" applyFill="1" applyAlignment="1" applyProtection="1">
      <alignment horizontal="center" vertical="center" wrapText="1"/>
      <protection hidden="1"/>
    </xf>
    <xf numFmtId="0" fontId="1" fillId="3" borderId="0" xfId="0" applyFont="1" applyFill="1" applyProtection="1">
      <protection hidden="1"/>
    </xf>
    <xf numFmtId="0" fontId="0" fillId="3" borderId="14" xfId="0" applyFill="1" applyBorder="1" applyProtection="1">
      <protection hidden="1"/>
    </xf>
    <xf numFmtId="2" fontId="0" fillId="3" borderId="10" xfId="0" applyNumberFormat="1" applyFill="1" applyBorder="1" applyProtection="1">
      <protection hidden="1"/>
    </xf>
    <xf numFmtId="0" fontId="0" fillId="3" borderId="0" xfId="0" applyFill="1" applyAlignment="1" applyProtection="1">
      <alignment horizontal="right"/>
      <protection hidden="1"/>
    </xf>
    <xf numFmtId="0" fontId="0" fillId="3" borderId="15" xfId="0" applyFill="1" applyBorder="1" applyProtection="1">
      <protection hidden="1"/>
    </xf>
    <xf numFmtId="2" fontId="0" fillId="3" borderId="14" xfId="0" applyNumberFormat="1" applyFill="1" applyBorder="1" applyProtection="1">
      <protection hidden="1"/>
    </xf>
    <xf numFmtId="2" fontId="0" fillId="3" borderId="6" xfId="0" applyNumberFormat="1" applyFill="1" applyBorder="1" applyProtection="1">
      <protection hidden="1"/>
    </xf>
    <xf numFmtId="2" fontId="0" fillId="3" borderId="15" xfId="0" applyNumberFormat="1" applyFill="1" applyBorder="1" applyProtection="1">
      <protection hidden="1"/>
    </xf>
    <xf numFmtId="0" fontId="0" fillId="3" borderId="0" xfId="0" quotePrefix="1" applyFill="1" applyProtection="1">
      <protection hidden="1"/>
    </xf>
    <xf numFmtId="2" fontId="0" fillId="3" borderId="0" xfId="0" applyNumberFormat="1" applyFill="1" applyAlignment="1" applyProtection="1">
      <alignment horizontal="center"/>
    </xf>
    <xf numFmtId="2" fontId="0" fillId="3" borderId="0" xfId="0" applyNumberFormat="1" applyFill="1" applyAlignment="1" applyProtection="1">
      <alignment horizontal="center" vertical="center"/>
      <protection hidden="1"/>
    </xf>
    <xf numFmtId="2" fontId="0" fillId="3" borderId="0" xfId="0" applyNumberFormat="1" applyFill="1" applyProtection="1"/>
    <xf numFmtId="1" fontId="0" fillId="3" borderId="0" xfId="0" applyNumberFormat="1" applyFill="1" applyAlignment="1" applyProtection="1">
      <alignment horizontal="left"/>
    </xf>
    <xf numFmtId="2" fontId="0" fillId="3" borderId="0" xfId="0" applyNumberFormat="1" applyFill="1" applyBorder="1" applyProtection="1">
      <protection hidden="1"/>
    </xf>
    <xf numFmtId="1" fontId="0" fillId="3" borderId="11" xfId="0" applyNumberFormat="1" applyFill="1" applyBorder="1" applyAlignment="1" applyProtection="1">
      <alignment horizontal="center"/>
      <protection hidden="1"/>
    </xf>
    <xf numFmtId="2" fontId="0" fillId="3" borderId="0" xfId="0" applyNumberFormat="1" applyFill="1" applyBorder="1" applyAlignment="1" applyProtection="1">
      <alignment horizontal="center"/>
      <protection hidden="1"/>
    </xf>
    <xf numFmtId="0" fontId="0" fillId="3" borderId="0" xfId="0" applyFill="1" applyBorder="1" applyAlignment="1" applyProtection="1">
      <alignment horizontal="right"/>
      <protection hidden="1"/>
    </xf>
    <xf numFmtId="2" fontId="0" fillId="3" borderId="1" xfId="0" applyNumberFormat="1" applyFill="1" applyBorder="1" applyAlignment="1" applyProtection="1">
      <alignment horizontal="center"/>
      <protection hidden="1"/>
    </xf>
    <xf numFmtId="2" fontId="0" fillId="3" borderId="0" xfId="0" applyNumberFormat="1" applyFill="1" applyAlignment="1" applyProtection="1">
      <alignment horizontal="right"/>
      <protection hidden="1"/>
    </xf>
    <xf numFmtId="0" fontId="2" fillId="3" borderId="0" xfId="0" applyFont="1" applyFill="1" applyAlignment="1" applyProtection="1">
      <alignment horizontal="center" vertical="center" wrapText="1"/>
      <protection hidden="1"/>
    </xf>
    <xf numFmtId="2" fontId="22" fillId="3" borderId="55" xfId="0" applyNumberFormat="1" applyFont="1" applyFill="1" applyBorder="1" applyAlignment="1" applyProtection="1">
      <alignment horizontal="center"/>
    </xf>
    <xf numFmtId="2" fontId="22" fillId="3" borderId="63" xfId="0" applyNumberFormat="1" applyFont="1" applyFill="1" applyBorder="1" applyAlignment="1" applyProtection="1">
      <alignment horizontal="center"/>
    </xf>
    <xf numFmtId="2" fontId="22" fillId="3" borderId="50" xfId="0" applyNumberFormat="1" applyFont="1" applyFill="1" applyBorder="1" applyAlignment="1" applyProtection="1">
      <alignment horizontal="center" vertical="top"/>
    </xf>
    <xf numFmtId="2" fontId="22" fillId="3" borderId="58" xfId="0" applyNumberFormat="1" applyFont="1" applyFill="1" applyBorder="1" applyAlignment="1" applyProtection="1">
      <alignment horizontal="center" vertical="top"/>
    </xf>
    <xf numFmtId="0" fontId="1" fillId="3" borderId="0" xfId="0" applyFont="1" applyFill="1" applyBorder="1" applyAlignment="1" applyProtection="1">
      <alignment horizontal="right"/>
      <protection hidden="1"/>
    </xf>
    <xf numFmtId="166" fontId="1" fillId="3" borderId="0" xfId="0" applyNumberFormat="1" applyFont="1" applyFill="1" applyProtection="1">
      <protection hidden="1"/>
    </xf>
    <xf numFmtId="0" fontId="0" fillId="3" borderId="0" xfId="0" applyFont="1" applyFill="1" applyProtection="1">
      <protection hidden="1"/>
    </xf>
    <xf numFmtId="166" fontId="0" fillId="3" borderId="0" xfId="0" applyNumberFormat="1" applyFill="1" applyAlignment="1" applyProtection="1">
      <alignment horizontal="center"/>
      <protection hidden="1"/>
    </xf>
    <xf numFmtId="1" fontId="0" fillId="3" borderId="0" xfId="0" applyNumberFormat="1" applyFill="1" applyAlignment="1" applyProtection="1">
      <alignment horizontal="left"/>
      <protection hidden="1"/>
    </xf>
    <xf numFmtId="2" fontId="120" fillId="10" borderId="69" xfId="0" applyNumberFormat="1" applyFont="1" applyFill="1" applyBorder="1" applyAlignment="1" applyProtection="1">
      <alignment vertical="top"/>
    </xf>
    <xf numFmtId="2" fontId="3" fillId="0" borderId="0" xfId="0" applyNumberFormat="1" applyFont="1" applyFill="1" applyBorder="1" applyAlignment="1" applyProtection="1">
      <alignment horizontal="center"/>
    </xf>
    <xf numFmtId="2" fontId="122" fillId="3" borderId="0" xfId="0" applyNumberFormat="1" applyFont="1" applyFill="1" applyAlignment="1">
      <alignment horizontal="center"/>
    </xf>
    <xf numFmtId="0" fontId="0" fillId="3" borderId="0" xfId="0" applyFill="1"/>
    <xf numFmtId="2" fontId="5" fillId="11" borderId="13" xfId="0" applyNumberFormat="1" applyFont="1" applyFill="1" applyBorder="1" applyAlignment="1" applyProtection="1">
      <alignment horizontal="center" vertical="center"/>
    </xf>
    <xf numFmtId="2" fontId="5" fillId="9" borderId="13" xfId="0" applyNumberFormat="1" applyFont="1" applyFill="1" applyBorder="1" applyAlignment="1" applyProtection="1">
      <alignment horizontal="center" vertical="center"/>
    </xf>
    <xf numFmtId="0" fontId="5" fillId="9" borderId="13" xfId="0" applyFont="1" applyFill="1" applyBorder="1" applyAlignment="1">
      <alignment horizontal="center" vertical="center"/>
    </xf>
    <xf numFmtId="0" fontId="1" fillId="3" borderId="0" xfId="0" applyFont="1" applyFill="1" applyAlignment="1" applyProtection="1">
      <protection hidden="1"/>
    </xf>
    <xf numFmtId="0" fontId="0" fillId="3" borderId="0" xfId="0" applyFill="1" applyAlignment="1" applyProtection="1">
      <protection hidden="1"/>
    </xf>
    <xf numFmtId="2" fontId="5" fillId="2" borderId="0" xfId="0" applyNumberFormat="1" applyFont="1" applyFill="1" applyBorder="1" applyAlignment="1" applyProtection="1">
      <alignment horizontal="center"/>
    </xf>
    <xf numFmtId="2" fontId="41" fillId="2" borderId="0" xfId="0" applyNumberFormat="1" applyFont="1" applyFill="1" applyAlignment="1" applyProtection="1">
      <alignment horizontal="center" vertical="top"/>
    </xf>
    <xf numFmtId="0" fontId="3" fillId="9" borderId="13" xfId="0" applyFont="1" applyFill="1" applyBorder="1" applyAlignment="1">
      <alignment horizontal="center" vertical="center" wrapText="1"/>
    </xf>
    <xf numFmtId="0" fontId="2" fillId="3" borderId="0" xfId="0" applyFont="1" applyFill="1" applyAlignment="1">
      <alignment horizontal="left"/>
    </xf>
    <xf numFmtId="0" fontId="2" fillId="3" borderId="0" xfId="0" applyFont="1" applyFill="1" applyAlignment="1" applyProtection="1">
      <alignment horizontal="left"/>
      <protection hidden="1"/>
    </xf>
    <xf numFmtId="0" fontId="61" fillId="0" borderId="13" xfId="0" applyFont="1" applyFill="1" applyBorder="1"/>
    <xf numFmtId="1" fontId="123" fillId="0" borderId="13" xfId="0" applyNumberFormat="1" applyFont="1" applyFill="1" applyBorder="1" applyAlignment="1">
      <alignment horizontal="center"/>
    </xf>
    <xf numFmtId="1" fontId="2" fillId="3" borderId="0" xfId="0" applyNumberFormat="1" applyFont="1" applyFill="1" applyAlignment="1">
      <alignment horizontal="left"/>
    </xf>
    <xf numFmtId="0" fontId="23" fillId="11" borderId="13" xfId="0" applyFont="1" applyFill="1" applyBorder="1" applyAlignment="1">
      <alignment horizontal="center" vertical="center"/>
    </xf>
    <xf numFmtId="0" fontId="0" fillId="3" borderId="13" xfId="0" applyFill="1" applyBorder="1" applyAlignment="1" applyProtection="1">
      <alignment horizontal="center"/>
      <protection hidden="1"/>
    </xf>
    <xf numFmtId="0" fontId="0" fillId="3" borderId="0" xfId="0" applyFill="1" applyAlignment="1" applyProtection="1">
      <alignment horizontal="center"/>
      <protection hidden="1"/>
    </xf>
    <xf numFmtId="2" fontId="0" fillId="3" borderId="12" xfId="0" applyNumberFormat="1" applyFill="1" applyBorder="1" applyAlignment="1" applyProtection="1">
      <alignment horizontal="center"/>
      <protection hidden="1"/>
    </xf>
    <xf numFmtId="2" fontId="0" fillId="3" borderId="0" xfId="0" applyNumberFormat="1" applyFill="1" applyAlignment="1" applyProtection="1">
      <alignment horizontal="left"/>
      <protection hidden="1"/>
    </xf>
    <xf numFmtId="2" fontId="107" fillId="3" borderId="50" xfId="0" applyNumberFormat="1" applyFont="1" applyFill="1" applyBorder="1" applyAlignment="1" applyProtection="1">
      <alignment horizontal="right" vertical="top"/>
    </xf>
    <xf numFmtId="1" fontId="0" fillId="0" borderId="2" xfId="0" applyNumberFormat="1" applyFill="1" applyBorder="1" applyAlignment="1" applyProtection="1">
      <alignment horizontal="right"/>
    </xf>
    <xf numFmtId="0" fontId="104" fillId="11" borderId="13" xfId="0" applyFont="1" applyFill="1" applyBorder="1" applyAlignment="1">
      <alignment horizontal="center" vertical="center"/>
    </xf>
    <xf numFmtId="0" fontId="0" fillId="3" borderId="0" xfId="0" applyFill="1" applyAlignment="1" applyProtection="1">
      <alignment wrapText="1"/>
      <protection hidden="1"/>
    </xf>
    <xf numFmtId="0" fontId="2" fillId="3" borderId="0" xfId="0" applyFont="1" applyFill="1" applyAlignment="1" applyProtection="1">
      <alignment horizontal="left" wrapText="1"/>
      <protection hidden="1"/>
    </xf>
    <xf numFmtId="165" fontId="0" fillId="3" borderId="0" xfId="0" applyNumberFormat="1" applyFill="1" applyAlignment="1" applyProtection="1">
      <alignment horizontal="center"/>
      <protection hidden="1"/>
    </xf>
    <xf numFmtId="2" fontId="61" fillId="0" borderId="0" xfId="0" applyNumberFormat="1" applyFont="1" applyFill="1" applyAlignment="1" applyProtection="1">
      <alignment horizontal="left"/>
    </xf>
    <xf numFmtId="2" fontId="61" fillId="0" borderId="15" xfId="0" applyNumberFormat="1" applyFont="1" applyFill="1" applyBorder="1" applyAlignment="1">
      <alignment horizontal="center" wrapText="1"/>
    </xf>
    <xf numFmtId="0" fontId="24" fillId="0" borderId="15" xfId="0" applyFont="1" applyFill="1" applyBorder="1" applyAlignment="1">
      <alignment horizontal="center" vertical="center"/>
    </xf>
    <xf numFmtId="1" fontId="24" fillId="0" borderId="71" xfId="0" applyNumberFormat="1" applyFont="1" applyFill="1" applyBorder="1" applyAlignment="1" applyProtection="1">
      <alignment horizontal="center" vertical="center"/>
    </xf>
    <xf numFmtId="2" fontId="24" fillId="0" borderId="71" xfId="0" applyNumberFormat="1" applyFont="1" applyFill="1" applyBorder="1" applyAlignment="1" applyProtection="1">
      <alignment horizontal="center" vertical="center"/>
    </xf>
    <xf numFmtId="2" fontId="24" fillId="0" borderId="71" xfId="0" applyNumberFormat="1" applyFont="1" applyFill="1" applyBorder="1" applyAlignment="1" applyProtection="1">
      <alignment horizontal="center" vertical="top"/>
    </xf>
    <xf numFmtId="2" fontId="24" fillId="0" borderId="70" xfId="0" applyNumberFormat="1" applyFont="1" applyFill="1" applyBorder="1" applyAlignment="1" applyProtection="1">
      <alignment horizontal="center" vertical="center"/>
    </xf>
    <xf numFmtId="2" fontId="24" fillId="0" borderId="70" xfId="0" applyNumberFormat="1" applyFont="1" applyFill="1" applyBorder="1" applyAlignment="1" applyProtection="1">
      <alignment horizontal="center" vertical="top"/>
    </xf>
    <xf numFmtId="2" fontId="61" fillId="0" borderId="13" xfId="0" applyNumberFormat="1" applyFont="1" applyFill="1" applyBorder="1" applyAlignment="1">
      <alignment horizontal="left" vertical="center"/>
    </xf>
    <xf numFmtId="2" fontId="14" fillId="0" borderId="70" xfId="0" applyNumberFormat="1" applyFont="1" applyFill="1" applyBorder="1" applyAlignment="1" applyProtection="1">
      <alignment horizontal="center" vertical="top"/>
    </xf>
    <xf numFmtId="2" fontId="24" fillId="0" borderId="13" xfId="0" applyNumberFormat="1" applyFont="1" applyFill="1" applyBorder="1" applyAlignment="1">
      <alignment horizontal="center" wrapText="1"/>
    </xf>
    <xf numFmtId="1" fontId="24" fillId="0" borderId="70" xfId="0" applyNumberFormat="1" applyFont="1" applyFill="1" applyBorder="1" applyAlignment="1" applyProtection="1">
      <alignment horizontal="center" vertical="center"/>
    </xf>
    <xf numFmtId="9" fontId="126" fillId="7" borderId="13" xfId="0" applyNumberFormat="1" applyFont="1" applyFill="1" applyBorder="1" applyAlignment="1">
      <alignment horizontal="center" vertical="center"/>
    </xf>
    <xf numFmtId="0" fontId="2" fillId="7" borderId="13" xfId="0" applyFont="1" applyFill="1" applyBorder="1" applyAlignment="1">
      <alignment horizontal="center" vertical="center"/>
    </xf>
    <xf numFmtId="0" fontId="2" fillId="7" borderId="13" xfId="0" applyFont="1" applyFill="1" applyBorder="1" applyAlignment="1">
      <alignment horizontal="center" vertical="center" wrapText="1"/>
    </xf>
    <xf numFmtId="0" fontId="0" fillId="3" borderId="0" xfId="0" applyFill="1" applyAlignment="1" applyProtection="1">
      <alignment horizontal="center"/>
      <protection hidden="1"/>
    </xf>
    <xf numFmtId="0" fontId="1" fillId="3" borderId="0" xfId="0" applyFont="1" applyFill="1" applyAlignment="1" applyProtection="1">
      <alignment horizontal="center"/>
      <protection hidden="1"/>
    </xf>
    <xf numFmtId="2" fontId="130" fillId="3" borderId="0" xfId="0" applyNumberFormat="1" applyFont="1" applyFill="1" applyAlignment="1">
      <alignment horizontal="center"/>
    </xf>
    <xf numFmtId="2" fontId="69" fillId="3" borderId="0" xfId="0" applyNumberFormat="1" applyFont="1" applyFill="1" applyAlignment="1">
      <alignment horizontal="center" vertical="top"/>
    </xf>
    <xf numFmtId="2" fontId="22" fillId="2" borderId="7" xfId="0" applyNumberFormat="1" applyFont="1" applyFill="1" applyBorder="1" applyAlignment="1" applyProtection="1"/>
    <xf numFmtId="0" fontId="8" fillId="3" borderId="0" xfId="0" applyFont="1" applyFill="1" applyProtection="1">
      <protection hidden="1"/>
    </xf>
    <xf numFmtId="2" fontId="110" fillId="2" borderId="8" xfId="0" applyNumberFormat="1" applyFont="1" applyFill="1" applyBorder="1" applyAlignment="1" applyProtection="1"/>
    <xf numFmtId="166" fontId="110" fillId="0" borderId="9" xfId="0" applyNumberFormat="1" applyFont="1" applyFill="1" applyBorder="1" applyAlignment="1" applyProtection="1">
      <alignment horizontal="center"/>
    </xf>
    <xf numFmtId="1" fontId="25" fillId="0" borderId="10" xfId="0" applyNumberFormat="1" applyFont="1" applyFill="1" applyBorder="1" applyAlignment="1" applyProtection="1">
      <alignment horizontal="center" vertical="center"/>
    </xf>
    <xf numFmtId="1" fontId="25" fillId="0" borderId="12" xfId="0" applyNumberFormat="1" applyFont="1" applyFill="1" applyBorder="1" applyAlignment="1" applyProtection="1">
      <alignment horizontal="center" vertical="center"/>
    </xf>
    <xf numFmtId="166" fontId="22" fillId="2" borderId="14" xfId="0" applyNumberFormat="1" applyFont="1" applyFill="1" applyBorder="1" applyAlignment="1" applyProtection="1">
      <alignment horizontal="center" vertical="center"/>
    </xf>
    <xf numFmtId="1" fontId="25" fillId="0" borderId="5" xfId="0" applyNumberFormat="1" applyFont="1" applyFill="1" applyBorder="1" applyAlignment="1" applyProtection="1">
      <alignment horizontal="center" vertical="center"/>
    </xf>
    <xf numFmtId="1" fontId="25" fillId="0" borderId="1" xfId="0" applyNumberFormat="1" applyFont="1" applyFill="1" applyBorder="1" applyAlignment="1" applyProtection="1">
      <alignment horizontal="center" vertical="center"/>
    </xf>
    <xf numFmtId="166" fontId="22" fillId="2" borderId="15" xfId="0" applyNumberFormat="1" applyFont="1" applyFill="1" applyBorder="1" applyAlignment="1" applyProtection="1">
      <alignment horizontal="center" vertical="center"/>
    </xf>
    <xf numFmtId="2" fontId="25" fillId="2" borderId="3" xfId="0" applyNumberFormat="1" applyFont="1" applyFill="1" applyBorder="1" applyProtection="1"/>
    <xf numFmtId="0" fontId="2" fillId="3" borderId="0" xfId="0" applyFont="1" applyFill="1" applyAlignment="1" applyProtection="1">
      <alignment horizontal="center"/>
      <protection hidden="1"/>
    </xf>
    <xf numFmtId="9" fontId="0" fillId="3" borderId="0" xfId="0" applyNumberFormat="1" applyFill="1" applyAlignment="1" applyProtection="1">
      <alignment horizontal="center"/>
      <protection hidden="1"/>
    </xf>
    <xf numFmtId="168" fontId="0" fillId="3" borderId="0" xfId="0" applyNumberFormat="1" applyFill="1" applyAlignment="1" applyProtection="1">
      <alignment horizontal="center"/>
      <protection hidden="1"/>
    </xf>
    <xf numFmtId="166" fontId="22" fillId="2" borderId="9" xfId="0" applyNumberFormat="1" applyFont="1" applyFill="1" applyBorder="1" applyAlignment="1" applyProtection="1">
      <alignment horizontal="center"/>
    </xf>
    <xf numFmtId="166" fontId="0" fillId="3" borderId="0" xfId="0" applyNumberFormat="1" applyFill="1" applyProtection="1">
      <protection hidden="1"/>
    </xf>
    <xf numFmtId="168" fontId="0" fillId="3" borderId="0" xfId="0" applyNumberFormat="1" applyFill="1" applyProtection="1">
      <protection hidden="1"/>
    </xf>
    <xf numFmtId="2" fontId="23" fillId="2" borderId="12" xfId="0" applyNumberFormat="1" applyFont="1" applyFill="1" applyBorder="1" applyAlignment="1" applyProtection="1">
      <alignment horizontal="left" vertical="center"/>
    </xf>
    <xf numFmtId="166" fontId="0" fillId="3" borderId="0" xfId="0" applyNumberFormat="1" applyFill="1" applyAlignment="1" applyProtection="1">
      <alignment horizontal="left"/>
      <protection hidden="1"/>
    </xf>
    <xf numFmtId="166" fontId="22" fillId="2" borderId="7" xfId="0" applyNumberFormat="1" applyFont="1" applyFill="1" applyBorder="1" applyAlignment="1" applyProtection="1">
      <alignment horizontal="center"/>
    </xf>
    <xf numFmtId="166" fontId="22" fillId="2" borderId="13" xfId="0" applyNumberFormat="1" applyFont="1" applyFill="1" applyBorder="1" applyAlignment="1" applyProtection="1">
      <alignment horizontal="center"/>
    </xf>
    <xf numFmtId="2" fontId="134" fillId="2" borderId="72" xfId="0" applyNumberFormat="1" applyFont="1" applyFill="1" applyBorder="1" applyAlignment="1" applyProtection="1">
      <alignment vertical="center"/>
    </xf>
    <xf numFmtId="2" fontId="0" fillId="2" borderId="73" xfId="0" applyNumberFormat="1" applyFill="1" applyBorder="1" applyProtection="1"/>
    <xf numFmtId="2" fontId="88" fillId="3" borderId="0" xfId="0" applyNumberFormat="1" applyFont="1" applyFill="1" applyProtection="1"/>
    <xf numFmtId="2" fontId="22" fillId="9" borderId="8" xfId="0" applyNumberFormat="1" applyFont="1" applyFill="1" applyBorder="1" applyAlignment="1" applyProtection="1">
      <alignment horizontal="center" vertical="center"/>
    </xf>
    <xf numFmtId="166" fontId="5" fillId="2" borderId="4" xfId="0" applyNumberFormat="1" applyFont="1" applyFill="1" applyBorder="1" applyAlignment="1" applyProtection="1">
      <alignment horizontal="center"/>
    </xf>
    <xf numFmtId="166" fontId="5" fillId="2" borderId="5" xfId="0" applyNumberFormat="1" applyFont="1" applyFill="1" applyBorder="1" applyAlignment="1" applyProtection="1">
      <alignment horizontal="center"/>
    </xf>
    <xf numFmtId="166" fontId="5" fillId="2" borderId="10" xfId="0" applyNumberFormat="1" applyFont="1" applyFill="1" applyBorder="1" applyAlignment="1" applyProtection="1">
      <alignment horizontal="center"/>
    </xf>
    <xf numFmtId="2" fontId="0" fillId="0" borderId="4" xfId="0" applyNumberFormat="1" applyFill="1" applyBorder="1" applyAlignment="1" applyProtection="1">
      <alignment horizontal="center"/>
    </xf>
    <xf numFmtId="1" fontId="2" fillId="2" borderId="0" xfId="0" applyNumberFormat="1" applyFont="1" applyFill="1" applyAlignment="1" applyProtection="1">
      <alignment horizontal="left"/>
    </xf>
    <xf numFmtId="2" fontId="2" fillId="2" borderId="5" xfId="0" applyNumberFormat="1" applyFont="1" applyFill="1" applyBorder="1" applyAlignment="1" applyProtection="1">
      <alignment horizontal="center"/>
    </xf>
    <xf numFmtId="2" fontId="92" fillId="8" borderId="0" xfId="0" applyNumberFormat="1" applyFont="1" applyFill="1" applyBorder="1" applyAlignment="1" applyProtection="1">
      <alignment horizontal="center" vertical="center"/>
    </xf>
    <xf numFmtId="2" fontId="98" fillId="8" borderId="0" xfId="0" applyNumberFormat="1" applyFont="1" applyFill="1" applyBorder="1" applyAlignment="1" applyProtection="1">
      <alignment horizontal="center" vertical="center"/>
    </xf>
    <xf numFmtId="2" fontId="92" fillId="8" borderId="3" xfId="0" applyNumberFormat="1" applyFont="1" applyFill="1" applyBorder="1" applyAlignment="1" applyProtection="1">
      <alignment horizontal="center" vertical="center"/>
    </xf>
    <xf numFmtId="2" fontId="92" fillId="8" borderId="4" xfId="0" applyNumberFormat="1" applyFont="1" applyFill="1" applyBorder="1" applyAlignment="1" applyProtection="1">
      <alignment horizontal="center" vertical="center"/>
    </xf>
    <xf numFmtId="2" fontId="98" fillId="8" borderId="4" xfId="0" applyNumberFormat="1" applyFont="1" applyFill="1" applyBorder="1" applyAlignment="1" applyProtection="1">
      <alignment horizontal="center" vertical="center"/>
    </xf>
    <xf numFmtId="2" fontId="130" fillId="3" borderId="0" xfId="0" applyNumberFormat="1" applyFont="1" applyFill="1" applyAlignment="1">
      <alignment horizontal="center"/>
    </xf>
    <xf numFmtId="2" fontId="69" fillId="3" borderId="0" xfId="0" applyNumberFormat="1" applyFont="1" applyFill="1" applyAlignment="1">
      <alignment horizontal="center" vertical="top"/>
    </xf>
    <xf numFmtId="166" fontId="5" fillId="2" borderId="15" xfId="0" applyNumberFormat="1" applyFont="1" applyFill="1" applyBorder="1" applyAlignment="1" applyProtection="1">
      <alignment horizontal="center"/>
    </xf>
    <xf numFmtId="166" fontId="5" fillId="2" borderId="6" xfId="0" applyNumberFormat="1" applyFont="1" applyFill="1" applyBorder="1" applyAlignment="1" applyProtection="1">
      <alignment horizontal="center"/>
    </xf>
    <xf numFmtId="166" fontId="5" fillId="2" borderId="14" xfId="0" applyNumberFormat="1" applyFont="1" applyFill="1" applyBorder="1" applyAlignment="1" applyProtection="1">
      <alignment horizontal="center"/>
    </xf>
    <xf numFmtId="2" fontId="15" fillId="2" borderId="0" xfId="0" applyNumberFormat="1" applyFont="1" applyFill="1" applyAlignment="1" applyProtection="1">
      <alignment vertical="top"/>
    </xf>
    <xf numFmtId="2" fontId="0" fillId="2" borderId="4" xfId="0" applyNumberFormat="1" applyFont="1" applyFill="1" applyBorder="1" applyProtection="1"/>
    <xf numFmtId="2" fontId="61" fillId="3" borderId="49" xfId="0" applyNumberFormat="1" applyFont="1" applyFill="1" applyBorder="1" applyAlignment="1" applyProtection="1">
      <alignment horizontal="left"/>
    </xf>
    <xf numFmtId="2" fontId="61" fillId="3" borderId="75" xfId="0" applyNumberFormat="1" applyFont="1" applyFill="1" applyBorder="1" applyAlignment="1" applyProtection="1">
      <alignment horizontal="left"/>
    </xf>
    <xf numFmtId="2" fontId="24" fillId="3" borderId="76" xfId="0" applyNumberFormat="1" applyFont="1" applyFill="1" applyBorder="1" applyAlignment="1" applyProtection="1">
      <alignment horizontal="center"/>
    </xf>
    <xf numFmtId="1" fontId="24" fillId="3" borderId="75" xfId="0" applyNumberFormat="1" applyFont="1" applyFill="1" applyBorder="1" applyAlignment="1" applyProtection="1">
      <alignment horizontal="center"/>
    </xf>
    <xf numFmtId="166" fontId="44" fillId="2" borderId="12" xfId="0" applyNumberFormat="1" applyFont="1" applyFill="1" applyBorder="1" applyAlignment="1" applyProtection="1"/>
    <xf numFmtId="0" fontId="61" fillId="0" borderId="7" xfId="0" applyFont="1" applyFill="1" applyBorder="1" applyAlignment="1"/>
    <xf numFmtId="0" fontId="124" fillId="9" borderId="10" xfId="0" applyFont="1" applyFill="1" applyBorder="1" applyAlignment="1">
      <alignment horizontal="center" vertical="center"/>
    </xf>
    <xf numFmtId="0" fontId="3" fillId="9" borderId="5" xfId="0" applyFont="1" applyFill="1" applyBorder="1" applyAlignment="1">
      <alignment horizontal="center" vertical="center"/>
    </xf>
    <xf numFmtId="0" fontId="0" fillId="3" borderId="4" xfId="0" applyFill="1" applyBorder="1"/>
    <xf numFmtId="0" fontId="61" fillId="0" borderId="7" xfId="0" applyFont="1" applyFill="1" applyBorder="1" applyAlignment="1">
      <alignment horizontal="left" indent="1"/>
    </xf>
    <xf numFmtId="0" fontId="0" fillId="13" borderId="13" xfId="0" applyFill="1" applyBorder="1"/>
    <xf numFmtId="0" fontId="2" fillId="11" borderId="13" xfId="0" applyFont="1" applyFill="1" applyBorder="1" applyAlignment="1">
      <alignment horizontal="right"/>
    </xf>
    <xf numFmtId="2" fontId="0" fillId="2" borderId="0" xfId="0" applyNumberFormat="1" applyFill="1" applyBorder="1" applyAlignment="1" applyProtection="1">
      <alignment horizontal="center"/>
    </xf>
    <xf numFmtId="2" fontId="15" fillId="2" borderId="0" xfId="0" applyNumberFormat="1" applyFont="1" applyFill="1" applyAlignment="1" applyProtection="1">
      <alignment horizontal="left" vertical="top"/>
    </xf>
    <xf numFmtId="1" fontId="2" fillId="2" borderId="0" xfId="0" applyNumberFormat="1" applyFont="1" applyFill="1" applyAlignment="1" applyProtection="1">
      <alignment horizontal="left"/>
    </xf>
    <xf numFmtId="2" fontId="92" fillId="8" borderId="0" xfId="0" applyNumberFormat="1" applyFont="1" applyFill="1" applyBorder="1" applyAlignment="1" applyProtection="1">
      <alignment horizontal="center" vertical="center"/>
    </xf>
    <xf numFmtId="2" fontId="92" fillId="8" borderId="3" xfId="0" applyNumberFormat="1" applyFont="1" applyFill="1" applyBorder="1" applyAlignment="1" applyProtection="1">
      <alignment horizontal="center" vertical="center"/>
    </xf>
    <xf numFmtId="2" fontId="92" fillId="8" borderId="4" xfId="0" applyNumberFormat="1" applyFont="1" applyFill="1" applyBorder="1" applyAlignment="1" applyProtection="1">
      <alignment horizontal="center" vertical="center"/>
    </xf>
    <xf numFmtId="2" fontId="98" fillId="8" borderId="0" xfId="0" applyNumberFormat="1" applyFont="1" applyFill="1" applyBorder="1" applyAlignment="1" applyProtection="1">
      <alignment horizontal="center" vertical="center"/>
    </xf>
    <xf numFmtId="2" fontId="98" fillId="8" borderId="4" xfId="0" applyNumberFormat="1" applyFont="1" applyFill="1" applyBorder="1" applyAlignment="1" applyProtection="1">
      <alignment horizontal="center" vertical="center"/>
    </xf>
    <xf numFmtId="2" fontId="98" fillId="8" borderId="3" xfId="0" applyNumberFormat="1" applyFont="1" applyFill="1" applyBorder="1" applyAlignment="1" applyProtection="1">
      <alignment horizontal="center" vertical="center"/>
    </xf>
    <xf numFmtId="2" fontId="5" fillId="2" borderId="0" xfId="0" applyNumberFormat="1" applyFont="1" applyFill="1" applyBorder="1" applyAlignment="1" applyProtection="1">
      <alignment horizontal="center"/>
    </xf>
    <xf numFmtId="2" fontId="1" fillId="2" borderId="0" xfId="0" applyNumberFormat="1" applyFont="1" applyFill="1" applyAlignment="1" applyProtection="1">
      <alignment horizontal="left"/>
    </xf>
    <xf numFmtId="2" fontId="0" fillId="0" borderId="4" xfId="0" applyNumberFormat="1" applyFill="1" applyBorder="1" applyAlignment="1" applyProtection="1">
      <alignment horizontal="center"/>
    </xf>
    <xf numFmtId="0" fontId="131" fillId="3" borderId="0" xfId="0" applyFont="1" applyFill="1" applyAlignment="1"/>
    <xf numFmtId="2" fontId="61" fillId="14" borderId="68" xfId="0" applyNumberFormat="1" applyFont="1" applyFill="1" applyBorder="1" applyAlignment="1" applyProtection="1">
      <alignment horizontal="right"/>
    </xf>
    <xf numFmtId="2" fontId="14" fillId="14" borderId="56" xfId="0" applyNumberFormat="1" applyFont="1" applyFill="1" applyBorder="1" applyAlignment="1" applyProtection="1"/>
    <xf numFmtId="2" fontId="14" fillId="14" borderId="45" xfId="0" applyNumberFormat="1" applyFont="1" applyFill="1" applyBorder="1" applyAlignment="1" applyProtection="1">
      <alignment vertical="center"/>
    </xf>
    <xf numFmtId="1" fontId="24" fillId="14" borderId="49" xfId="0" applyNumberFormat="1" applyFont="1" applyFill="1" applyBorder="1" applyAlignment="1" applyProtection="1">
      <alignment horizontal="center" vertical="center"/>
    </xf>
    <xf numFmtId="2" fontId="98" fillId="8" borderId="25" xfId="0" applyNumberFormat="1" applyFont="1" applyFill="1" applyBorder="1" applyAlignment="1" applyProtection="1">
      <alignment horizontal="center" vertical="center"/>
    </xf>
    <xf numFmtId="2" fontId="22" fillId="9" borderId="0" xfId="0" applyNumberFormat="1" applyFont="1" applyFill="1" applyBorder="1" applyAlignment="1" applyProtection="1">
      <alignment horizontal="center" vertical="center"/>
    </xf>
    <xf numFmtId="2" fontId="112" fillId="9" borderId="0" xfId="0" applyNumberFormat="1" applyFont="1" applyFill="1" applyBorder="1" applyAlignment="1" applyProtection="1">
      <alignment horizontal="center" vertical="center"/>
    </xf>
    <xf numFmtId="2" fontId="22" fillId="9" borderId="12" xfId="0" applyNumberFormat="1" applyFont="1" applyFill="1" applyBorder="1" applyAlignment="1" applyProtection="1">
      <alignment horizontal="center" vertical="center"/>
    </xf>
    <xf numFmtId="2" fontId="112" fillId="9" borderId="11" xfId="0" applyNumberFormat="1" applyFont="1" applyFill="1" applyBorder="1" applyAlignment="1" applyProtection="1">
      <alignment horizontal="center" vertical="center"/>
    </xf>
    <xf numFmtId="2" fontId="115" fillId="9" borderId="4" xfId="0" applyNumberFormat="1" applyFont="1" applyFill="1" applyBorder="1" applyAlignment="1" applyProtection="1">
      <alignment horizontal="right" vertical="center"/>
    </xf>
    <xf numFmtId="2" fontId="112" fillId="9" borderId="3" xfId="0" applyNumberFormat="1" applyFont="1" applyFill="1" applyBorder="1" applyAlignment="1" applyProtection="1">
      <alignment horizontal="center" vertical="center"/>
    </xf>
    <xf numFmtId="2" fontId="115" fillId="9" borderId="5" xfId="0" applyNumberFormat="1" applyFont="1" applyFill="1" applyBorder="1" applyAlignment="1" applyProtection="1">
      <alignment horizontal="right" vertical="center"/>
    </xf>
    <xf numFmtId="2" fontId="22" fillId="9" borderId="1" xfId="0" applyNumberFormat="1" applyFont="1" applyFill="1" applyBorder="1" applyAlignment="1" applyProtection="1">
      <alignment horizontal="center" vertical="center"/>
    </xf>
    <xf numFmtId="2" fontId="112" fillId="9" borderId="1" xfId="0" applyNumberFormat="1" applyFont="1" applyFill="1" applyBorder="1" applyAlignment="1" applyProtection="1">
      <alignment horizontal="center" vertical="center"/>
    </xf>
    <xf numFmtId="1" fontId="115" fillId="9" borderId="1" xfId="0" applyNumberFormat="1" applyFont="1" applyFill="1" applyBorder="1" applyAlignment="1" applyProtection="1">
      <alignment horizontal="center" vertical="center"/>
    </xf>
    <xf numFmtId="2" fontId="115" fillId="9" borderId="2" xfId="0" applyNumberFormat="1" applyFont="1" applyFill="1" applyBorder="1" applyAlignment="1" applyProtection="1">
      <alignment horizontal="center" vertical="center"/>
    </xf>
    <xf numFmtId="2" fontId="113" fillId="9" borderId="3" xfId="0" applyNumberFormat="1" applyFont="1" applyFill="1" applyBorder="1" applyAlignment="1" applyProtection="1">
      <alignment horizontal="right" vertical="center"/>
    </xf>
    <xf numFmtId="2" fontId="112" fillId="9" borderId="2" xfId="0" applyNumberFormat="1" applyFont="1" applyFill="1" applyBorder="1" applyAlignment="1" applyProtection="1">
      <alignment horizontal="right" vertical="center"/>
    </xf>
    <xf numFmtId="2" fontId="114" fillId="9" borderId="7" xfId="0" applyNumberFormat="1" applyFont="1" applyFill="1" applyBorder="1" applyAlignment="1" applyProtection="1">
      <alignment horizontal="right" vertical="center"/>
    </xf>
    <xf numFmtId="2" fontId="112" fillId="9" borderId="8" xfId="0" applyNumberFormat="1" applyFont="1" applyFill="1" applyBorder="1" applyAlignment="1" applyProtection="1">
      <alignment horizontal="center" vertical="center"/>
    </xf>
    <xf numFmtId="2" fontId="112" fillId="0" borderId="8" xfId="0" applyNumberFormat="1" applyFont="1" applyFill="1" applyBorder="1" applyAlignment="1" applyProtection="1">
      <alignment horizontal="center" vertical="center"/>
    </xf>
    <xf numFmtId="2" fontId="112" fillId="0" borderId="9" xfId="0" applyNumberFormat="1" applyFont="1" applyFill="1" applyBorder="1" applyAlignment="1" applyProtection="1">
      <alignment horizontal="center" vertical="center"/>
    </xf>
    <xf numFmtId="2" fontId="114" fillId="9" borderId="10" xfId="0" applyNumberFormat="1" applyFont="1" applyFill="1" applyBorder="1" applyAlignment="1" applyProtection="1">
      <alignment vertical="center"/>
    </xf>
    <xf numFmtId="2" fontId="114" fillId="9" borderId="4" xfId="0" applyNumberFormat="1" applyFont="1" applyFill="1" applyBorder="1" applyAlignment="1" applyProtection="1">
      <alignment vertical="center"/>
    </xf>
    <xf numFmtId="2" fontId="114" fillId="9" borderId="5" xfId="0" applyNumberFormat="1" applyFont="1" applyFill="1" applyBorder="1" applyAlignment="1" applyProtection="1">
      <alignment vertical="center"/>
    </xf>
    <xf numFmtId="2" fontId="112" fillId="9" borderId="2" xfId="0" applyNumberFormat="1" applyFont="1" applyFill="1" applyBorder="1" applyAlignment="1" applyProtection="1">
      <alignment horizontal="center" vertical="center"/>
    </xf>
    <xf numFmtId="2" fontId="0" fillId="0" borderId="6" xfId="0" applyNumberFormat="1" applyFill="1" applyBorder="1" applyAlignment="1" applyProtection="1">
      <alignment horizontal="center"/>
    </xf>
    <xf numFmtId="2" fontId="139" fillId="14" borderId="2" xfId="0" applyNumberFormat="1" applyFont="1" applyFill="1" applyBorder="1" applyAlignment="1" applyProtection="1">
      <alignment horizontal="center"/>
    </xf>
    <xf numFmtId="165" fontId="107" fillId="14" borderId="6" xfId="0" applyNumberFormat="1" applyFont="1" applyFill="1" applyBorder="1" applyAlignment="1" applyProtection="1">
      <alignment horizontal="left"/>
    </xf>
    <xf numFmtId="2" fontId="0" fillId="2" borderId="1" xfId="0" applyNumberFormat="1" applyFill="1" applyBorder="1" applyAlignment="1" applyProtection="1"/>
    <xf numFmtId="1" fontId="5" fillId="2" borderId="58" xfId="0" applyNumberFormat="1" applyFont="1" applyFill="1" applyBorder="1" applyAlignment="1" applyProtection="1">
      <alignment horizontal="center" vertical="top"/>
    </xf>
    <xf numFmtId="1" fontId="2" fillId="0" borderId="11" xfId="0" applyNumberFormat="1" applyFont="1" applyFill="1" applyBorder="1" applyAlignment="1" applyProtection="1">
      <alignment horizontal="left"/>
    </xf>
    <xf numFmtId="1" fontId="2" fillId="0" borderId="3" xfId="0" applyNumberFormat="1" applyFont="1" applyFill="1" applyBorder="1" applyAlignment="1" applyProtection="1">
      <alignment horizontal="left"/>
    </xf>
    <xf numFmtId="1" fontId="2" fillId="0" borderId="2" xfId="0" applyNumberFormat="1" applyFont="1" applyFill="1" applyBorder="1" applyAlignment="1" applyProtection="1">
      <alignment horizontal="left"/>
    </xf>
    <xf numFmtId="166" fontId="5" fillId="2" borderId="2" xfId="0" applyNumberFormat="1" applyFont="1" applyFill="1" applyBorder="1" applyAlignment="1" applyProtection="1">
      <alignment horizontal="center"/>
    </xf>
    <xf numFmtId="2" fontId="8" fillId="0" borderId="0" xfId="0" applyNumberFormat="1" applyFont="1" applyFill="1" applyBorder="1" applyAlignment="1" applyProtection="1">
      <alignment horizontal="left"/>
    </xf>
    <xf numFmtId="2" fontId="8" fillId="0" borderId="3" xfId="0" applyNumberFormat="1" applyFont="1" applyFill="1" applyBorder="1" applyAlignment="1" applyProtection="1">
      <alignment horizontal="left"/>
    </xf>
    <xf numFmtId="4" fontId="8" fillId="2" borderId="4" xfId="0" applyNumberFormat="1" applyFont="1" applyFill="1" applyBorder="1" applyAlignment="1" applyProtection="1">
      <alignment horizontal="center"/>
    </xf>
    <xf numFmtId="4" fontId="8" fillId="2" borderId="3" xfId="0" applyNumberFormat="1" applyFont="1" applyFill="1" applyBorder="1" applyAlignment="1" applyProtection="1">
      <alignment horizontal="center"/>
    </xf>
    <xf numFmtId="4" fontId="8" fillId="0" borderId="4" xfId="0" applyNumberFormat="1" applyFont="1" applyFill="1" applyBorder="1" applyAlignment="1" applyProtection="1">
      <alignment horizontal="center"/>
    </xf>
    <xf numFmtId="4" fontId="8" fillId="0" borderId="3" xfId="0" applyNumberFormat="1" applyFont="1" applyFill="1" applyBorder="1" applyAlignment="1" applyProtection="1">
      <alignment horizontal="center"/>
    </xf>
    <xf numFmtId="166" fontId="8" fillId="0" borderId="4" xfId="0" applyNumberFormat="1" applyFont="1" applyFill="1" applyBorder="1" applyAlignment="1" applyProtection="1">
      <alignment horizontal="center"/>
    </xf>
    <xf numFmtId="166" fontId="8" fillId="0" borderId="3" xfId="0" applyNumberFormat="1" applyFont="1" applyFill="1" applyBorder="1" applyAlignment="1" applyProtection="1">
      <alignment horizontal="center"/>
    </xf>
    <xf numFmtId="166" fontId="8" fillId="2" borderId="4" xfId="0" applyNumberFormat="1" applyFont="1" applyFill="1" applyBorder="1" applyAlignment="1" applyProtection="1">
      <alignment horizontal="center"/>
    </xf>
    <xf numFmtId="166" fontId="8" fillId="2" borderId="3" xfId="0" applyNumberFormat="1" applyFont="1" applyFill="1" applyBorder="1" applyAlignment="1" applyProtection="1">
      <alignment horizontal="center"/>
    </xf>
    <xf numFmtId="4" fontId="22" fillId="2" borderId="4" xfId="0" applyNumberFormat="1" applyFont="1" applyFill="1" applyBorder="1" applyAlignment="1" applyProtection="1">
      <alignment horizontal="center"/>
    </xf>
    <xf numFmtId="4" fontId="22" fillId="2" borderId="3" xfId="0" applyNumberFormat="1" applyFont="1" applyFill="1" applyBorder="1" applyAlignment="1" applyProtection="1">
      <alignment horizontal="center"/>
    </xf>
    <xf numFmtId="2" fontId="115" fillId="9" borderId="12" xfId="0" quotePrefix="1" applyNumberFormat="1" applyFont="1" applyFill="1" applyBorder="1" applyAlignment="1" applyProtection="1">
      <alignment horizontal="center" vertical="center"/>
    </xf>
    <xf numFmtId="2" fontId="4" fillId="2" borderId="7" xfId="0" applyNumberFormat="1" applyFont="1" applyFill="1" applyBorder="1" applyAlignment="1" applyProtection="1">
      <alignment horizontal="left"/>
    </xf>
    <xf numFmtId="2" fontId="4" fillId="2" borderId="8" xfId="0" applyNumberFormat="1" applyFont="1" applyFill="1" applyBorder="1" applyAlignment="1" applyProtection="1">
      <alignment horizontal="left"/>
    </xf>
    <xf numFmtId="2" fontId="4" fillId="2" borderId="5" xfId="0" applyNumberFormat="1" applyFont="1" applyFill="1" applyBorder="1" applyAlignment="1" applyProtection="1">
      <alignment horizontal="right"/>
    </xf>
    <xf numFmtId="2" fontId="4" fillId="2" borderId="1" xfId="0" applyNumberFormat="1" applyFont="1" applyFill="1" applyBorder="1" applyAlignment="1" applyProtection="1">
      <alignment horizontal="right"/>
    </xf>
    <xf numFmtId="2" fontId="0" fillId="2" borderId="0" xfId="0" applyNumberFormat="1" applyFill="1" applyAlignment="1" applyProtection="1">
      <alignment horizontal="left"/>
    </xf>
    <xf numFmtId="2" fontId="0" fillId="2" borderId="0" xfId="0" applyNumberFormat="1" applyFont="1" applyFill="1" applyAlignment="1" applyProtection="1">
      <alignment horizontal="left"/>
    </xf>
    <xf numFmtId="1" fontId="110" fillId="2" borderId="7" xfId="0" applyNumberFormat="1" applyFont="1" applyFill="1" applyBorder="1" applyAlignment="1" applyProtection="1">
      <alignment horizontal="left"/>
    </xf>
    <xf numFmtId="1" fontId="110" fillId="2" borderId="8" xfId="0" applyNumberFormat="1" applyFont="1" applyFill="1" applyBorder="1" applyAlignment="1" applyProtection="1">
      <alignment horizontal="left"/>
    </xf>
    <xf numFmtId="1" fontId="110" fillId="2" borderId="9" xfId="0" applyNumberFormat="1" applyFont="1" applyFill="1" applyBorder="1" applyAlignment="1" applyProtection="1">
      <alignment horizontal="left"/>
    </xf>
    <xf numFmtId="2" fontId="76" fillId="3" borderId="7" xfId="0" quotePrefix="1" applyNumberFormat="1" applyFont="1" applyFill="1" applyBorder="1" applyAlignment="1" applyProtection="1">
      <alignment horizontal="right"/>
    </xf>
    <xf numFmtId="2" fontId="76" fillId="3" borderId="8" xfId="0" applyNumberFormat="1" applyFont="1" applyFill="1" applyBorder="1" applyAlignment="1" applyProtection="1">
      <alignment horizontal="right"/>
    </xf>
    <xf numFmtId="2" fontId="107" fillId="14" borderId="4" xfId="0" applyNumberFormat="1" applyFont="1" applyFill="1" applyBorder="1" applyAlignment="1" applyProtection="1">
      <alignment horizontal="left"/>
    </xf>
    <xf numFmtId="2" fontId="107" fillId="14" borderId="3" xfId="0" applyNumberFormat="1" applyFont="1" applyFill="1" applyBorder="1" applyAlignment="1" applyProtection="1">
      <alignment horizontal="left"/>
    </xf>
    <xf numFmtId="2" fontId="0" fillId="2" borderId="0" xfId="0" applyNumberFormat="1" applyFill="1" applyBorder="1" applyAlignment="1" applyProtection="1">
      <alignment horizontal="center"/>
    </xf>
    <xf numFmtId="2" fontId="0" fillId="2" borderId="1" xfId="0" applyNumberFormat="1" applyFill="1" applyBorder="1" applyAlignment="1" applyProtection="1">
      <alignment horizontal="center"/>
    </xf>
    <xf numFmtId="2" fontId="42" fillId="2" borderId="0" xfId="0" applyNumberFormat="1" applyFont="1" applyFill="1" applyAlignment="1" applyProtection="1">
      <alignment horizontal="left" vertical="top"/>
    </xf>
    <xf numFmtId="2" fontId="42" fillId="2" borderId="0" xfId="0" applyNumberFormat="1" applyFont="1" applyFill="1" applyBorder="1" applyAlignment="1" applyProtection="1">
      <alignment horizontal="left" vertical="top"/>
    </xf>
    <xf numFmtId="2" fontId="140" fillId="14" borderId="5" xfId="0" applyNumberFormat="1" applyFont="1" applyFill="1" applyBorder="1" applyAlignment="1" applyProtection="1">
      <alignment horizontal="center"/>
    </xf>
    <xf numFmtId="2" fontId="140" fillId="14" borderId="2" xfId="0" applyNumberFormat="1" applyFont="1" applyFill="1" applyBorder="1" applyAlignment="1" applyProtection="1">
      <alignment horizontal="center"/>
    </xf>
    <xf numFmtId="2" fontId="107" fillId="14" borderId="10" xfId="0" applyNumberFormat="1" applyFont="1" applyFill="1" applyBorder="1" applyAlignment="1" applyProtection="1">
      <alignment horizontal="left"/>
    </xf>
    <xf numFmtId="2" fontId="107" fillId="14" borderId="11" xfId="0" applyNumberFormat="1" applyFont="1" applyFill="1" applyBorder="1" applyAlignment="1" applyProtection="1">
      <alignment horizontal="left"/>
    </xf>
    <xf numFmtId="166" fontId="44" fillId="2" borderId="1" xfId="0" applyNumberFormat="1" applyFont="1" applyFill="1" applyBorder="1" applyAlignment="1" applyProtection="1">
      <alignment horizontal="left" vertical="top"/>
    </xf>
    <xf numFmtId="2" fontId="8" fillId="2" borderId="7" xfId="0" applyNumberFormat="1" applyFont="1" applyFill="1" applyBorder="1" applyAlignment="1" applyProtection="1">
      <alignment horizontal="center"/>
    </xf>
    <xf numFmtId="2" fontId="8" fillId="2" borderId="8" xfId="0" applyNumberFormat="1" applyFont="1" applyFill="1" applyBorder="1" applyAlignment="1" applyProtection="1">
      <alignment horizontal="center"/>
    </xf>
    <xf numFmtId="2" fontId="8" fillId="2" borderId="12" xfId="0" applyNumberFormat="1" applyFont="1" applyFill="1" applyBorder="1" applyAlignment="1" applyProtection="1">
      <alignment horizontal="center"/>
    </xf>
    <xf numFmtId="2" fontId="0" fillId="0" borderId="0" xfId="0" applyNumberFormat="1" applyFont="1" applyFill="1" applyBorder="1" applyAlignment="1" applyProtection="1">
      <alignment horizontal="center"/>
    </xf>
    <xf numFmtId="2" fontId="26" fillId="2" borderId="12" xfId="0" applyNumberFormat="1" applyFont="1" applyFill="1" applyBorder="1" applyAlignment="1" applyProtection="1">
      <alignment horizontal="right" vertical="top"/>
    </xf>
    <xf numFmtId="2" fontId="33" fillId="0" borderId="4" xfId="0" applyNumberFormat="1" applyFont="1" applyFill="1" applyBorder="1" applyAlignment="1" applyProtection="1">
      <alignment horizontal="left"/>
    </xf>
    <xf numFmtId="2" fontId="33" fillId="0" borderId="0" xfId="0" applyNumberFormat="1" applyFont="1" applyFill="1" applyBorder="1" applyAlignment="1" applyProtection="1">
      <alignment horizontal="left"/>
    </xf>
    <xf numFmtId="2" fontId="111" fillId="2" borderId="4" xfId="0" applyNumberFormat="1" applyFont="1" applyFill="1" applyBorder="1" applyAlignment="1" applyProtection="1">
      <alignment horizontal="left"/>
    </xf>
    <xf numFmtId="2" fontId="111" fillId="2" borderId="0" xfId="0" applyNumberFormat="1" applyFont="1" applyFill="1" applyBorder="1" applyAlignment="1" applyProtection="1">
      <alignment horizontal="left"/>
    </xf>
    <xf numFmtId="2" fontId="30" fillId="0" borderId="4" xfId="0" applyNumberFormat="1" applyFont="1" applyFill="1" applyBorder="1" applyAlignment="1" applyProtection="1">
      <alignment horizontal="left"/>
    </xf>
    <xf numFmtId="2" fontId="30" fillId="0" borderId="0" xfId="0" applyNumberFormat="1" applyFont="1" applyFill="1" applyBorder="1" applyAlignment="1" applyProtection="1">
      <alignment horizontal="left"/>
    </xf>
    <xf numFmtId="2" fontId="30" fillId="0" borderId="3" xfId="0" applyNumberFormat="1" applyFont="1" applyFill="1" applyBorder="1" applyAlignment="1" applyProtection="1">
      <alignment horizontal="left"/>
    </xf>
    <xf numFmtId="2" fontId="0" fillId="0" borderId="4" xfId="0" applyNumberFormat="1" applyFont="1" applyFill="1" applyBorder="1" applyAlignment="1" applyProtection="1">
      <alignment horizontal="center"/>
    </xf>
    <xf numFmtId="2" fontId="44" fillId="2" borderId="4" xfId="0" applyNumberFormat="1" applyFont="1" applyFill="1" applyBorder="1" applyAlignment="1" applyProtection="1">
      <alignment horizontal="center" vertical="center"/>
    </xf>
    <xf numFmtId="2" fontId="44" fillId="2" borderId="0" xfId="0" applyNumberFormat="1" applyFont="1" applyFill="1" applyBorder="1" applyAlignment="1" applyProtection="1">
      <alignment horizontal="center" vertical="center"/>
    </xf>
    <xf numFmtId="2" fontId="44" fillId="2" borderId="3" xfId="0" applyNumberFormat="1" applyFont="1" applyFill="1" applyBorder="1" applyAlignment="1" applyProtection="1">
      <alignment horizontal="center" vertical="center"/>
    </xf>
    <xf numFmtId="2" fontId="44" fillId="2" borderId="5" xfId="0" applyNumberFormat="1" applyFont="1" applyFill="1" applyBorder="1" applyAlignment="1" applyProtection="1">
      <alignment horizontal="center" vertical="top"/>
    </xf>
    <xf numFmtId="2" fontId="44" fillId="2" borderId="1" xfId="0" applyNumberFormat="1" applyFont="1" applyFill="1" applyBorder="1" applyAlignment="1" applyProtection="1">
      <alignment horizontal="center" vertical="top"/>
    </xf>
    <xf numFmtId="2" fontId="44" fillId="2" borderId="2" xfId="0" applyNumberFormat="1" applyFont="1" applyFill="1" applyBorder="1" applyAlignment="1" applyProtection="1">
      <alignment horizontal="center" vertical="top"/>
    </xf>
    <xf numFmtId="2" fontId="0" fillId="0" borderId="5" xfId="0" applyNumberFormat="1" applyFont="1" applyFill="1" applyBorder="1" applyAlignment="1" applyProtection="1">
      <alignment horizontal="center"/>
    </xf>
    <xf numFmtId="2" fontId="0" fillId="0" borderId="1" xfId="0" applyNumberFormat="1" applyFont="1" applyFill="1" applyBorder="1" applyAlignment="1" applyProtection="1">
      <alignment horizontal="center"/>
    </xf>
    <xf numFmtId="1" fontId="1" fillId="2" borderId="0" xfId="0" applyNumberFormat="1" applyFont="1" applyFill="1" applyBorder="1" applyAlignment="1" applyProtection="1">
      <alignment horizontal="left"/>
    </xf>
    <xf numFmtId="1" fontId="2" fillId="2" borderId="0" xfId="0" applyNumberFormat="1" applyFont="1" applyFill="1" applyBorder="1" applyAlignment="1" applyProtection="1">
      <alignment horizontal="left"/>
    </xf>
    <xf numFmtId="2" fontId="2" fillId="2" borderId="10" xfId="0" applyNumberFormat="1" applyFont="1" applyFill="1" applyBorder="1" applyAlignment="1" applyProtection="1">
      <alignment horizontal="center"/>
    </xf>
    <xf numFmtId="2" fontId="2" fillId="2" borderId="12" xfId="0" applyNumberFormat="1" applyFont="1" applyFill="1" applyBorder="1" applyAlignment="1" applyProtection="1">
      <alignment horizontal="center"/>
    </xf>
    <xf numFmtId="2" fontId="76" fillId="3" borderId="39" xfId="0" quotePrefix="1" applyNumberFormat="1" applyFont="1" applyFill="1" applyBorder="1" applyAlignment="1" applyProtection="1">
      <alignment horizontal="right"/>
    </xf>
    <xf numFmtId="2" fontId="76" fillId="3" borderId="59" xfId="0" applyNumberFormat="1" applyFont="1" applyFill="1" applyBorder="1" applyAlignment="1" applyProtection="1">
      <alignment horizontal="right"/>
    </xf>
    <xf numFmtId="2" fontId="2" fillId="2" borderId="7" xfId="0" applyNumberFormat="1" applyFont="1" applyFill="1" applyBorder="1" applyAlignment="1" applyProtection="1">
      <alignment horizontal="center"/>
    </xf>
    <xf numFmtId="2" fontId="2" fillId="2" borderId="8" xfId="0" applyNumberFormat="1" applyFont="1" applyFill="1" applyBorder="1" applyAlignment="1" applyProtection="1">
      <alignment horizontal="center"/>
    </xf>
    <xf numFmtId="2" fontId="8" fillId="2" borderId="7" xfId="0" applyNumberFormat="1" applyFont="1" applyFill="1" applyBorder="1" applyAlignment="1" applyProtection="1">
      <alignment horizontal="left"/>
    </xf>
    <xf numFmtId="2" fontId="8" fillId="2" borderId="8" xfId="0" applyNumberFormat="1" applyFont="1" applyFill="1" applyBorder="1" applyAlignment="1" applyProtection="1">
      <alignment horizontal="left"/>
    </xf>
    <xf numFmtId="2" fontId="0" fillId="2" borderId="1" xfId="0" applyNumberFormat="1" applyFill="1" applyBorder="1" applyAlignment="1" applyProtection="1">
      <alignment horizontal="left"/>
    </xf>
    <xf numFmtId="2" fontId="0" fillId="2" borderId="2" xfId="0" applyNumberFormat="1" applyFill="1" applyBorder="1" applyAlignment="1" applyProtection="1">
      <alignment horizontal="left"/>
    </xf>
    <xf numFmtId="2" fontId="0" fillId="0" borderId="3" xfId="0" applyNumberFormat="1" applyFont="1" applyFill="1" applyBorder="1" applyAlignment="1" applyProtection="1">
      <alignment horizontal="center"/>
    </xf>
    <xf numFmtId="2" fontId="0" fillId="0" borderId="2" xfId="0" applyNumberFormat="1" applyFont="1" applyFill="1" applyBorder="1" applyAlignment="1" applyProtection="1">
      <alignment horizontal="center"/>
    </xf>
    <xf numFmtId="2" fontId="61" fillId="3" borderId="41" xfId="0" applyNumberFormat="1" applyFont="1" applyFill="1" applyBorder="1" applyAlignment="1" applyProtection="1">
      <alignment horizontal="left" vertical="center"/>
    </xf>
    <xf numFmtId="2" fontId="61" fillId="3" borderId="0" xfId="0" applyNumberFormat="1" applyFont="1" applyFill="1" applyBorder="1" applyAlignment="1" applyProtection="1">
      <alignment horizontal="left" vertical="center"/>
    </xf>
    <xf numFmtId="2" fontId="0" fillId="0" borderId="10" xfId="0" applyNumberFormat="1" applyFont="1" applyFill="1" applyBorder="1" applyAlignment="1" applyProtection="1">
      <alignment horizontal="center"/>
    </xf>
    <xf numFmtId="2" fontId="0" fillId="0" borderId="12" xfId="0" applyNumberFormat="1" applyFont="1" applyFill="1" applyBorder="1" applyAlignment="1" applyProtection="1">
      <alignment horizontal="center"/>
    </xf>
    <xf numFmtId="2" fontId="92" fillId="8" borderId="0" xfId="0" applyNumberFormat="1" applyFont="1" applyFill="1" applyBorder="1" applyAlignment="1" applyProtection="1">
      <alignment horizontal="center" vertical="center"/>
    </xf>
    <xf numFmtId="2" fontId="92" fillId="8" borderId="3" xfId="0" applyNumberFormat="1" applyFont="1" applyFill="1" applyBorder="1" applyAlignment="1" applyProtection="1">
      <alignment horizontal="center" vertical="center"/>
    </xf>
    <xf numFmtId="2" fontId="92" fillId="8" borderId="4" xfId="0" applyNumberFormat="1" applyFont="1" applyFill="1" applyBorder="1" applyAlignment="1" applyProtection="1">
      <alignment horizontal="center" vertical="center"/>
    </xf>
    <xf numFmtId="2" fontId="1" fillId="2" borderId="4" xfId="0" applyNumberFormat="1" applyFont="1" applyFill="1" applyBorder="1" applyAlignment="1" applyProtection="1">
      <alignment horizontal="center"/>
    </xf>
    <xf numFmtId="2" fontId="1" fillId="2" borderId="0" xfId="0" applyNumberFormat="1" applyFont="1" applyFill="1" applyBorder="1" applyAlignment="1" applyProtection="1">
      <alignment horizontal="center"/>
    </xf>
    <xf numFmtId="2" fontId="2" fillId="2" borderId="5" xfId="0" applyNumberFormat="1" applyFont="1" applyFill="1" applyBorder="1" applyAlignment="1" applyProtection="1">
      <alignment horizontal="right"/>
    </xf>
    <xf numFmtId="2" fontId="2" fillId="2" borderId="1" xfId="0" applyNumberFormat="1" applyFont="1" applyFill="1" applyBorder="1" applyAlignment="1" applyProtection="1">
      <alignment horizontal="right"/>
    </xf>
    <xf numFmtId="1" fontId="30" fillId="0" borderId="4" xfId="0" applyNumberFormat="1" applyFont="1" applyFill="1" applyBorder="1" applyAlignment="1" applyProtection="1">
      <alignment horizontal="left"/>
    </xf>
    <xf numFmtId="1" fontId="30" fillId="0" borderId="0" xfId="0" applyNumberFormat="1" applyFont="1" applyFill="1" applyBorder="1" applyAlignment="1" applyProtection="1">
      <alignment horizontal="left"/>
    </xf>
    <xf numFmtId="1" fontId="30" fillId="0" borderId="3" xfId="0" applyNumberFormat="1" applyFont="1" applyFill="1" applyBorder="1" applyAlignment="1" applyProtection="1">
      <alignment horizontal="left"/>
    </xf>
    <xf numFmtId="2" fontId="0" fillId="0" borderId="11" xfId="0" applyNumberFormat="1" applyFont="1" applyFill="1" applyBorder="1" applyAlignment="1" applyProtection="1">
      <alignment horizontal="center"/>
    </xf>
    <xf numFmtId="2" fontId="4" fillId="2" borderId="8" xfId="0" applyNumberFormat="1" applyFont="1" applyFill="1" applyBorder="1" applyAlignment="1" applyProtection="1">
      <alignment horizontal="right"/>
    </xf>
    <xf numFmtId="2" fontId="0" fillId="2" borderId="4" xfId="0" applyNumberFormat="1" applyFill="1" applyBorder="1" applyAlignment="1" applyProtection="1">
      <alignment horizontal="center"/>
    </xf>
    <xf numFmtId="2" fontId="41" fillId="2" borderId="0" xfId="0" applyNumberFormat="1" applyFont="1" applyFill="1" applyAlignment="1" applyProtection="1">
      <alignment horizontal="center" vertical="top"/>
    </xf>
    <xf numFmtId="2" fontId="133" fillId="2" borderId="12" xfId="0" applyNumberFormat="1" applyFont="1" applyFill="1" applyBorder="1" applyAlignment="1" applyProtection="1">
      <alignment horizontal="center" vertical="center"/>
    </xf>
    <xf numFmtId="2" fontId="22" fillId="2" borderId="10" xfId="0" applyNumberFormat="1" applyFont="1" applyFill="1" applyBorder="1" applyAlignment="1" applyProtection="1">
      <alignment horizontal="center"/>
    </xf>
    <xf numFmtId="2" fontId="22" fillId="2" borderId="12" xfId="0" applyNumberFormat="1" applyFont="1" applyFill="1" applyBorder="1" applyAlignment="1" applyProtection="1">
      <alignment horizontal="center"/>
    </xf>
    <xf numFmtId="2" fontId="22" fillId="2" borderId="11" xfId="0" applyNumberFormat="1" applyFont="1" applyFill="1" applyBorder="1" applyAlignment="1" applyProtection="1">
      <alignment horizontal="center"/>
    </xf>
    <xf numFmtId="2" fontId="30" fillId="2" borderId="5" xfId="0" applyNumberFormat="1" applyFont="1" applyFill="1" applyBorder="1" applyAlignment="1" applyProtection="1">
      <alignment horizontal="center"/>
    </xf>
    <xf numFmtId="2" fontId="30" fillId="2" borderId="1" xfId="0" applyNumberFormat="1" applyFont="1" applyFill="1" applyBorder="1" applyAlignment="1" applyProtection="1">
      <alignment horizontal="center"/>
    </xf>
    <xf numFmtId="2" fontId="30" fillId="2" borderId="2" xfId="0" applyNumberFormat="1" applyFont="1" applyFill="1" applyBorder="1" applyAlignment="1" applyProtection="1">
      <alignment horizontal="center"/>
    </xf>
    <xf numFmtId="2" fontId="134" fillId="2" borderId="12" xfId="0" applyNumberFormat="1" applyFont="1" applyFill="1" applyBorder="1" applyAlignment="1" applyProtection="1">
      <alignment horizontal="left" vertical="center"/>
    </xf>
    <xf numFmtId="2" fontId="2" fillId="2" borderId="11" xfId="0" applyNumberFormat="1" applyFont="1" applyFill="1" applyBorder="1" applyAlignment="1" applyProtection="1">
      <alignment horizontal="center"/>
    </xf>
    <xf numFmtId="2" fontId="12" fillId="2" borderId="0" xfId="0" applyNumberFormat="1" applyFont="1" applyFill="1" applyBorder="1" applyAlignment="1" applyProtection="1">
      <alignment horizontal="center"/>
    </xf>
    <xf numFmtId="2" fontId="12" fillId="2" borderId="74" xfId="0" applyNumberFormat="1" applyFont="1" applyFill="1" applyBorder="1" applyAlignment="1" applyProtection="1">
      <alignment horizontal="center"/>
    </xf>
    <xf numFmtId="1" fontId="30" fillId="0" borderId="10" xfId="0" applyNumberFormat="1" applyFont="1" applyFill="1" applyBorder="1" applyAlignment="1" applyProtection="1">
      <alignment horizontal="left"/>
    </xf>
    <xf numFmtId="1" fontId="30" fillId="0" borderId="12" xfId="0" applyNumberFormat="1" applyFont="1" applyFill="1" applyBorder="1" applyAlignment="1" applyProtection="1">
      <alignment horizontal="left"/>
    </xf>
    <xf numFmtId="1" fontId="30" fillId="0" borderId="11" xfId="0" applyNumberFormat="1" applyFont="1" applyFill="1" applyBorder="1" applyAlignment="1" applyProtection="1">
      <alignment horizontal="left"/>
    </xf>
    <xf numFmtId="2" fontId="110" fillId="2" borderId="7" xfId="0" applyNumberFormat="1" applyFont="1" applyFill="1" applyBorder="1" applyAlignment="1" applyProtection="1">
      <alignment horizontal="left"/>
    </xf>
    <xf numFmtId="2" fontId="110" fillId="2" borderId="8" xfId="0" applyNumberFormat="1" applyFont="1" applyFill="1" applyBorder="1" applyAlignment="1" applyProtection="1">
      <alignment horizontal="left"/>
    </xf>
    <xf numFmtId="2" fontId="30" fillId="0" borderId="7" xfId="0" applyNumberFormat="1" applyFont="1" applyFill="1" applyBorder="1" applyAlignment="1" applyProtection="1">
      <alignment horizontal="left"/>
    </xf>
    <xf numFmtId="2" fontId="30" fillId="0" borderId="8" xfId="0" applyNumberFormat="1" applyFont="1" applyFill="1" applyBorder="1" applyAlignment="1" applyProtection="1">
      <alignment horizontal="left"/>
    </xf>
    <xf numFmtId="2" fontId="30" fillId="0" borderId="9" xfId="0" applyNumberFormat="1" applyFont="1" applyFill="1" applyBorder="1" applyAlignment="1" applyProtection="1">
      <alignment horizontal="left"/>
    </xf>
    <xf numFmtId="2" fontId="132" fillId="2" borderId="10" xfId="0" applyNumberFormat="1" applyFont="1" applyFill="1" applyBorder="1" applyAlignment="1" applyProtection="1">
      <alignment horizontal="center"/>
    </xf>
    <xf numFmtId="2" fontId="132" fillId="2" borderId="12" xfId="0" applyNumberFormat="1" applyFont="1" applyFill="1" applyBorder="1" applyAlignment="1" applyProtection="1">
      <alignment horizontal="center"/>
    </xf>
    <xf numFmtId="2" fontId="132" fillId="2" borderId="11" xfId="0" applyNumberFormat="1" applyFont="1" applyFill="1" applyBorder="1" applyAlignment="1" applyProtection="1">
      <alignment horizontal="center"/>
    </xf>
    <xf numFmtId="1" fontId="27" fillId="2" borderId="5" xfId="0" applyNumberFormat="1" applyFont="1" applyFill="1" applyBorder="1" applyAlignment="1" applyProtection="1">
      <alignment horizontal="right"/>
    </xf>
    <xf numFmtId="1" fontId="27" fillId="2" borderId="1" xfId="0" applyNumberFormat="1" applyFont="1" applyFill="1" applyBorder="1" applyAlignment="1" applyProtection="1">
      <alignment horizontal="right"/>
    </xf>
    <xf numFmtId="2" fontId="27" fillId="2" borderId="7" xfId="0" applyNumberFormat="1" applyFont="1" applyFill="1" applyBorder="1" applyAlignment="1" applyProtection="1">
      <alignment horizontal="center"/>
    </xf>
    <xf numFmtId="2" fontId="27" fillId="2" borderId="8" xfId="0" applyNumberFormat="1" applyFont="1" applyFill="1" applyBorder="1" applyAlignment="1" applyProtection="1">
      <alignment horizontal="center"/>
    </xf>
    <xf numFmtId="2" fontId="27" fillId="2" borderId="9" xfId="0" applyNumberFormat="1" applyFont="1" applyFill="1" applyBorder="1" applyAlignment="1" applyProtection="1">
      <alignment horizontal="center"/>
    </xf>
    <xf numFmtId="1" fontId="27" fillId="2" borderId="7" xfId="0" applyNumberFormat="1" applyFont="1" applyFill="1" applyBorder="1" applyAlignment="1" applyProtection="1">
      <alignment horizontal="center"/>
    </xf>
    <xf numFmtId="1" fontId="27" fillId="2" borderId="8" xfId="0" applyNumberFormat="1" applyFont="1" applyFill="1" applyBorder="1" applyAlignment="1" applyProtection="1">
      <alignment horizontal="center"/>
    </xf>
    <xf numFmtId="1" fontId="27" fillId="2" borderId="9" xfId="0" applyNumberFormat="1" applyFont="1" applyFill="1" applyBorder="1" applyAlignment="1" applyProtection="1">
      <alignment horizontal="center"/>
    </xf>
    <xf numFmtId="2" fontId="30" fillId="0" borderId="10" xfId="0" applyNumberFormat="1" applyFont="1" applyFill="1" applyBorder="1" applyAlignment="1" applyProtection="1">
      <alignment horizontal="left"/>
    </xf>
    <xf numFmtId="2" fontId="30" fillId="0" borderId="12" xfId="0" applyNumberFormat="1" applyFont="1" applyFill="1" applyBorder="1" applyAlignment="1" applyProtection="1">
      <alignment horizontal="left"/>
    </xf>
    <xf numFmtId="2" fontId="71" fillId="2" borderId="53" xfId="0" applyNumberFormat="1" applyFont="1" applyFill="1" applyBorder="1" applyAlignment="1" applyProtection="1">
      <alignment horizontal="left" vertical="top" wrapText="1" indent="2"/>
    </xf>
    <xf numFmtId="2" fontId="71" fillId="2" borderId="0" xfId="0" applyNumberFormat="1" applyFont="1" applyFill="1" applyBorder="1" applyAlignment="1" applyProtection="1">
      <alignment horizontal="left" vertical="top" wrapText="1" indent="2"/>
    </xf>
    <xf numFmtId="2" fontId="71" fillId="2" borderId="27" xfId="0" applyNumberFormat="1" applyFont="1" applyFill="1" applyBorder="1" applyAlignment="1" applyProtection="1">
      <alignment horizontal="left" vertical="top" wrapText="1" indent="2"/>
    </xf>
    <xf numFmtId="2" fontId="93" fillId="8" borderId="10" xfId="0" applyNumberFormat="1" applyFont="1" applyFill="1" applyBorder="1" applyAlignment="1" applyProtection="1">
      <alignment horizontal="center" vertical="center"/>
    </xf>
    <xf numFmtId="2" fontId="93" fillId="8" borderId="12" xfId="0" applyNumberFormat="1" applyFont="1" applyFill="1" applyBorder="1" applyAlignment="1" applyProtection="1">
      <alignment horizontal="center" vertical="center"/>
    </xf>
    <xf numFmtId="2" fontId="93" fillId="8" borderId="11" xfId="0" applyNumberFormat="1" applyFont="1" applyFill="1" applyBorder="1" applyAlignment="1" applyProtection="1">
      <alignment horizontal="center" vertical="center"/>
    </xf>
    <xf numFmtId="2" fontId="98" fillId="8" borderId="0" xfId="0" applyNumberFormat="1" applyFont="1" applyFill="1" applyBorder="1" applyAlignment="1" applyProtection="1">
      <alignment horizontal="center" vertical="center"/>
    </xf>
    <xf numFmtId="2" fontId="98" fillId="8" borderId="36" xfId="0" applyNumberFormat="1" applyFont="1" applyFill="1" applyBorder="1" applyAlignment="1" applyProtection="1">
      <alignment horizontal="center" vertical="center"/>
    </xf>
    <xf numFmtId="2" fontId="98" fillId="8" borderId="12" xfId="0" applyNumberFormat="1" applyFont="1" applyFill="1" applyBorder="1" applyAlignment="1" applyProtection="1">
      <alignment horizontal="center" vertical="center"/>
    </xf>
    <xf numFmtId="2" fontId="98" fillId="8" borderId="11" xfId="0" applyNumberFormat="1" applyFont="1" applyFill="1" applyBorder="1" applyAlignment="1" applyProtection="1">
      <alignment horizontal="center" vertical="center"/>
    </xf>
    <xf numFmtId="2" fontId="98" fillId="8" borderId="4" xfId="0" applyNumberFormat="1" applyFont="1" applyFill="1" applyBorder="1" applyAlignment="1" applyProtection="1">
      <alignment horizontal="center" vertical="center"/>
    </xf>
    <xf numFmtId="2" fontId="98" fillId="8" borderId="3" xfId="0" applyNumberFormat="1" applyFont="1" applyFill="1" applyBorder="1" applyAlignment="1" applyProtection="1">
      <alignment horizontal="center" vertical="center"/>
    </xf>
    <xf numFmtId="2" fontId="1" fillId="2" borderId="53" xfId="0" applyNumberFormat="1" applyFont="1" applyFill="1" applyBorder="1" applyAlignment="1" applyProtection="1">
      <alignment horizontal="center"/>
    </xf>
    <xf numFmtId="2" fontId="100" fillId="8" borderId="4" xfId="0" applyNumberFormat="1" applyFont="1" applyFill="1" applyBorder="1" applyAlignment="1" applyProtection="1">
      <alignment horizontal="center" vertical="top"/>
    </xf>
    <xf numFmtId="2" fontId="100" fillId="8" borderId="3" xfId="0" applyNumberFormat="1" applyFont="1" applyFill="1" applyBorder="1" applyAlignment="1" applyProtection="1">
      <alignment horizontal="center" vertical="top"/>
    </xf>
    <xf numFmtId="2" fontId="100" fillId="8" borderId="0" xfId="0" applyNumberFormat="1" applyFont="1" applyFill="1" applyBorder="1" applyAlignment="1" applyProtection="1">
      <alignment horizontal="center" vertical="top"/>
    </xf>
    <xf numFmtId="2" fontId="100" fillId="8" borderId="0" xfId="0" applyNumberFormat="1" applyFont="1" applyFill="1" applyBorder="1" applyAlignment="1" applyProtection="1">
      <alignment horizontal="center"/>
    </xf>
    <xf numFmtId="2" fontId="100" fillId="8" borderId="3" xfId="0" applyNumberFormat="1" applyFont="1" applyFill="1" applyBorder="1" applyAlignment="1" applyProtection="1">
      <alignment horizontal="center"/>
    </xf>
    <xf numFmtId="2" fontId="111" fillId="2" borderId="10" xfId="0" applyNumberFormat="1" applyFont="1" applyFill="1" applyBorder="1" applyAlignment="1" applyProtection="1">
      <alignment horizontal="left"/>
    </xf>
    <xf numFmtId="2" fontId="111" fillId="2" borderId="12" xfId="0" applyNumberFormat="1" applyFont="1" applyFill="1" applyBorder="1" applyAlignment="1" applyProtection="1">
      <alignment horizontal="left"/>
    </xf>
    <xf numFmtId="2" fontId="22" fillId="2" borderId="7" xfId="0" applyNumberFormat="1" applyFont="1" applyFill="1" applyBorder="1" applyAlignment="1" applyProtection="1">
      <alignment horizontal="right"/>
    </xf>
    <xf numFmtId="2" fontId="22" fillId="2" borderId="8" xfId="0" applyNumberFormat="1" applyFont="1" applyFill="1" applyBorder="1" applyAlignment="1" applyProtection="1">
      <alignment horizontal="right"/>
    </xf>
    <xf numFmtId="3" fontId="34" fillId="0" borderId="0" xfId="0" applyNumberFormat="1" applyFont="1" applyFill="1" applyBorder="1" applyAlignment="1" applyProtection="1">
      <alignment horizontal="center"/>
    </xf>
    <xf numFmtId="2" fontId="0" fillId="2" borderId="27" xfId="0" applyNumberFormat="1" applyFill="1" applyBorder="1" applyAlignment="1" applyProtection="1">
      <alignment horizontal="center"/>
    </xf>
    <xf numFmtId="2" fontId="1" fillId="2" borderId="0" xfId="0" applyNumberFormat="1" applyFont="1" applyFill="1" applyBorder="1" applyAlignment="1" applyProtection="1">
      <alignment horizontal="left"/>
    </xf>
    <xf numFmtId="2" fontId="0" fillId="2" borderId="0" xfId="0" applyNumberFormat="1" applyFill="1" applyBorder="1" applyAlignment="1" applyProtection="1">
      <alignment horizontal="right"/>
    </xf>
    <xf numFmtId="2" fontId="25" fillId="0" borderId="0" xfId="0" applyNumberFormat="1" applyFont="1" applyFill="1" applyAlignment="1" applyProtection="1">
      <alignment horizontal="left" vertical="top"/>
    </xf>
    <xf numFmtId="2" fontId="49" fillId="2" borderId="0" xfId="0" applyNumberFormat="1" applyFont="1" applyFill="1" applyAlignment="1" applyProtection="1">
      <alignment horizontal="left" vertical="justify"/>
    </xf>
    <xf numFmtId="2" fontId="115" fillId="9" borderId="1" xfId="0" applyNumberFormat="1" applyFont="1" applyFill="1" applyBorder="1" applyAlignment="1" applyProtection="1">
      <alignment horizontal="right" vertical="center"/>
    </xf>
    <xf numFmtId="2" fontId="115" fillId="9" borderId="8" xfId="0" quotePrefix="1" applyNumberFormat="1" applyFont="1" applyFill="1" applyBorder="1" applyAlignment="1" applyProtection="1">
      <alignment horizontal="right" vertical="center"/>
    </xf>
    <xf numFmtId="2" fontId="115" fillId="9" borderId="0" xfId="0" quotePrefix="1" applyNumberFormat="1" applyFont="1" applyFill="1" applyBorder="1" applyAlignment="1" applyProtection="1">
      <alignment horizontal="center" vertical="center"/>
    </xf>
    <xf numFmtId="2" fontId="115" fillId="9" borderId="1" xfId="0" quotePrefix="1" applyNumberFormat="1" applyFont="1" applyFill="1" applyBorder="1" applyAlignment="1" applyProtection="1">
      <alignment horizontal="center" vertical="center"/>
    </xf>
    <xf numFmtId="2" fontId="83" fillId="2" borderId="0" xfId="0" applyNumberFormat="1" applyFont="1" applyFill="1" applyBorder="1" applyAlignment="1" applyProtection="1">
      <alignment horizontal="center" vertical="center" wrapText="1"/>
    </xf>
    <xf numFmtId="2" fontId="83" fillId="2" borderId="50" xfId="0" applyNumberFormat="1" applyFont="1" applyFill="1" applyBorder="1" applyAlignment="1" applyProtection="1">
      <alignment horizontal="center" vertical="center" wrapText="1"/>
    </xf>
    <xf numFmtId="2" fontId="0" fillId="2" borderId="50" xfId="0" applyNumberFormat="1" applyFill="1" applyBorder="1" applyAlignment="1" applyProtection="1">
      <alignment horizontal="left" vertical="top"/>
    </xf>
    <xf numFmtId="2" fontId="114" fillId="9" borderId="10" xfId="0" applyNumberFormat="1" applyFont="1" applyFill="1" applyBorder="1" applyAlignment="1" applyProtection="1">
      <alignment horizontal="center" vertical="center"/>
    </xf>
    <xf numFmtId="2" fontId="114" fillId="9" borderId="11" xfId="0" applyNumberFormat="1" applyFont="1" applyFill="1" applyBorder="1" applyAlignment="1" applyProtection="1">
      <alignment horizontal="center" vertical="center"/>
    </xf>
    <xf numFmtId="2" fontId="118" fillId="9" borderId="10" xfId="0" applyNumberFormat="1" applyFont="1" applyFill="1" applyBorder="1" applyAlignment="1" applyProtection="1">
      <alignment horizontal="left" vertical="center"/>
    </xf>
    <xf numFmtId="2" fontId="118" fillId="9" borderId="12" xfId="0" applyNumberFormat="1" applyFont="1" applyFill="1" applyBorder="1" applyAlignment="1" applyProtection="1">
      <alignment horizontal="left" vertical="center"/>
    </xf>
    <xf numFmtId="2" fontId="118" fillId="9" borderId="11" xfId="0" applyNumberFormat="1" applyFont="1" applyFill="1" applyBorder="1" applyAlignment="1" applyProtection="1">
      <alignment horizontal="left" vertical="center"/>
    </xf>
    <xf numFmtId="2" fontId="5" fillId="2" borderId="0" xfId="0" applyNumberFormat="1" applyFont="1" applyFill="1" applyBorder="1" applyAlignment="1" applyProtection="1">
      <alignment horizontal="center"/>
    </xf>
    <xf numFmtId="2" fontId="0" fillId="2" borderId="0" xfId="0" applyNumberFormat="1" applyFont="1" applyFill="1" applyBorder="1" applyAlignment="1" applyProtection="1">
      <alignment horizontal="right"/>
    </xf>
    <xf numFmtId="2" fontId="5" fillId="0" borderId="0" xfId="0" applyNumberFormat="1" applyFont="1" applyFill="1" applyBorder="1" applyAlignment="1" applyProtection="1">
      <alignment horizontal="center" vertical="center"/>
    </xf>
    <xf numFmtId="2" fontId="43" fillId="2" borderId="0" xfId="0" applyNumberFormat="1" applyFont="1" applyFill="1" applyBorder="1" applyAlignment="1" applyProtection="1">
      <alignment horizontal="center"/>
    </xf>
    <xf numFmtId="2" fontId="40" fillId="2" borderId="0" xfId="0" applyNumberFormat="1" applyFont="1" applyFill="1" applyAlignment="1" applyProtection="1">
      <alignment horizontal="center"/>
    </xf>
    <xf numFmtId="2" fontId="39" fillId="2" borderId="1" xfId="0" applyNumberFormat="1" applyFont="1" applyFill="1" applyBorder="1" applyAlignment="1" applyProtection="1">
      <alignment horizontal="center" vertical="top"/>
    </xf>
    <xf numFmtId="2" fontId="43" fillId="2" borderId="0" xfId="0" applyNumberFormat="1" applyFont="1" applyFill="1" applyAlignment="1" applyProtection="1">
      <alignment horizontal="center"/>
    </xf>
    <xf numFmtId="2" fontId="118" fillId="9" borderId="4" xfId="0" applyNumberFormat="1" applyFont="1" applyFill="1" applyBorder="1" applyAlignment="1" applyProtection="1">
      <alignment horizontal="left" vertical="center"/>
    </xf>
    <xf numFmtId="2" fontId="118" fillId="9" borderId="0" xfId="0" applyNumberFormat="1" applyFont="1" applyFill="1" applyBorder="1" applyAlignment="1" applyProtection="1">
      <alignment horizontal="left" vertical="center"/>
    </xf>
    <xf numFmtId="2" fontId="118" fillId="9" borderId="3" xfId="0" applyNumberFormat="1" applyFont="1" applyFill="1" applyBorder="1" applyAlignment="1" applyProtection="1">
      <alignment horizontal="left" vertical="center"/>
    </xf>
    <xf numFmtId="2" fontId="118" fillId="9" borderId="5" xfId="0" applyNumberFormat="1" applyFont="1" applyFill="1" applyBorder="1" applyAlignment="1" applyProtection="1">
      <alignment horizontal="left" vertical="center"/>
    </xf>
    <xf numFmtId="2" fontId="118" fillId="9" borderId="1" xfId="0" applyNumberFormat="1" applyFont="1" applyFill="1" applyBorder="1" applyAlignment="1" applyProtection="1">
      <alignment horizontal="left" vertical="center"/>
    </xf>
    <xf numFmtId="2" fontId="118" fillId="9" borderId="2" xfId="0" applyNumberFormat="1" applyFont="1" applyFill="1" applyBorder="1" applyAlignment="1" applyProtection="1">
      <alignment horizontal="left" vertical="center"/>
    </xf>
    <xf numFmtId="2" fontId="114" fillId="9" borderId="4" xfId="0" applyNumberFormat="1" applyFont="1" applyFill="1" applyBorder="1" applyAlignment="1" applyProtection="1">
      <alignment horizontal="center" vertical="center"/>
    </xf>
    <xf numFmtId="2" fontId="114" fillId="9" borderId="3" xfId="0" applyNumberFormat="1" applyFont="1" applyFill="1" applyBorder="1" applyAlignment="1" applyProtection="1">
      <alignment horizontal="center" vertical="center"/>
    </xf>
    <xf numFmtId="2" fontId="114" fillId="9" borderId="5" xfId="0" applyNumberFormat="1" applyFont="1" applyFill="1" applyBorder="1" applyAlignment="1" applyProtection="1">
      <alignment horizontal="center" vertical="center"/>
    </xf>
    <xf numFmtId="2" fontId="114" fillId="9" borderId="2" xfId="0" applyNumberFormat="1" applyFont="1" applyFill="1" applyBorder="1" applyAlignment="1" applyProtection="1">
      <alignment horizontal="center" vertical="center"/>
    </xf>
    <xf numFmtId="2" fontId="105" fillId="3" borderId="43" xfId="0" applyNumberFormat="1" applyFont="1" applyFill="1" applyBorder="1" applyAlignment="1" applyProtection="1">
      <alignment horizontal="left" vertical="top"/>
    </xf>
    <xf numFmtId="2" fontId="105" fillId="3" borderId="37" xfId="0" applyNumberFormat="1" applyFont="1" applyFill="1" applyBorder="1" applyAlignment="1" applyProtection="1">
      <alignment horizontal="left" vertical="top"/>
    </xf>
    <xf numFmtId="2" fontId="102" fillId="3" borderId="54" xfId="0" applyNumberFormat="1" applyFont="1" applyFill="1" applyBorder="1" applyAlignment="1" applyProtection="1">
      <alignment horizontal="left"/>
    </xf>
    <xf numFmtId="2" fontId="102" fillId="3" borderId="55" xfId="0" applyNumberFormat="1" applyFont="1" applyFill="1" applyBorder="1" applyAlignment="1" applyProtection="1">
      <alignment horizontal="left"/>
    </xf>
    <xf numFmtId="2" fontId="15" fillId="2" borderId="0" xfId="0" applyNumberFormat="1" applyFont="1" applyFill="1" applyAlignment="1" applyProtection="1">
      <alignment horizontal="left" vertical="top"/>
    </xf>
    <xf numFmtId="2" fontId="70" fillId="3" borderId="51" xfId="0" applyNumberFormat="1" applyFont="1" applyFill="1" applyBorder="1" applyAlignment="1" applyProtection="1">
      <alignment horizontal="left" vertical="center"/>
    </xf>
    <xf numFmtId="2" fontId="70" fillId="3" borderId="48" xfId="0" applyNumberFormat="1" applyFont="1" applyFill="1" applyBorder="1" applyAlignment="1" applyProtection="1">
      <alignment horizontal="left" vertical="center"/>
    </xf>
    <xf numFmtId="2" fontId="70" fillId="3" borderId="44" xfId="0" applyNumberFormat="1" applyFont="1" applyFill="1" applyBorder="1" applyAlignment="1" applyProtection="1">
      <alignment horizontal="left" vertical="center"/>
    </xf>
    <xf numFmtId="2" fontId="70" fillId="3" borderId="57" xfId="0" applyNumberFormat="1" applyFont="1" applyFill="1" applyBorder="1" applyAlignment="1" applyProtection="1">
      <alignment horizontal="left" vertical="top"/>
    </xf>
    <xf numFmtId="2" fontId="70" fillId="3" borderId="37" xfId="0" applyNumberFormat="1" applyFont="1" applyFill="1" applyBorder="1" applyAlignment="1" applyProtection="1">
      <alignment horizontal="left" vertical="top"/>
    </xf>
    <xf numFmtId="2" fontId="43" fillId="2" borderId="0" xfId="0" applyNumberFormat="1" applyFont="1" applyFill="1" applyBorder="1" applyAlignment="1" applyProtection="1">
      <alignment horizontal="center" vertical="center"/>
    </xf>
    <xf numFmtId="2" fontId="8" fillId="2" borderId="0" xfId="0" applyNumberFormat="1" applyFont="1" applyFill="1" applyBorder="1" applyAlignment="1" applyProtection="1">
      <alignment horizontal="right"/>
    </xf>
    <xf numFmtId="2" fontId="97" fillId="8" borderId="25" xfId="0" applyNumberFormat="1" applyFont="1" applyFill="1" applyBorder="1" applyAlignment="1" applyProtection="1">
      <alignment horizontal="center" vertical="center"/>
    </xf>
    <xf numFmtId="2" fontId="97" fillId="8" borderId="0" xfId="0" applyNumberFormat="1" applyFont="1" applyFill="1" applyBorder="1" applyAlignment="1" applyProtection="1">
      <alignment horizontal="center" vertical="center"/>
    </xf>
    <xf numFmtId="2" fontId="1" fillId="2" borderId="52" xfId="0" applyNumberFormat="1" applyFont="1" applyFill="1" applyBorder="1" applyAlignment="1" applyProtection="1">
      <alignment horizontal="center"/>
    </xf>
    <xf numFmtId="2" fontId="41" fillId="2" borderId="0" xfId="0" applyNumberFormat="1" applyFont="1" applyFill="1" applyBorder="1" applyAlignment="1" applyProtection="1">
      <alignment horizontal="center" vertical="top"/>
    </xf>
    <xf numFmtId="2" fontId="71" fillId="2" borderId="52" xfId="0" applyNumberFormat="1" applyFont="1" applyFill="1" applyBorder="1" applyAlignment="1" applyProtection="1">
      <alignment horizontal="left" vertical="top" wrapText="1" indent="1"/>
    </xf>
    <xf numFmtId="2" fontId="71" fillId="2" borderId="0" xfId="0" applyNumberFormat="1" applyFont="1" applyFill="1" applyBorder="1" applyAlignment="1" applyProtection="1">
      <alignment horizontal="left" vertical="top" wrapText="1" indent="1"/>
    </xf>
    <xf numFmtId="2" fontId="71" fillId="2" borderId="27" xfId="0" applyNumberFormat="1" applyFont="1" applyFill="1" applyBorder="1" applyAlignment="1" applyProtection="1">
      <alignment horizontal="left" vertical="top" wrapText="1" indent="1"/>
    </xf>
    <xf numFmtId="2" fontId="31" fillId="2" borderId="0" xfId="0" applyNumberFormat="1" applyFont="1" applyFill="1" applyAlignment="1" applyProtection="1">
      <alignment horizontal="center" vertical="center"/>
    </xf>
    <xf numFmtId="2" fontId="31" fillId="2" borderId="0" xfId="0" applyNumberFormat="1" applyFont="1" applyFill="1" applyBorder="1" applyAlignment="1" applyProtection="1">
      <alignment horizontal="center" vertical="center"/>
    </xf>
    <xf numFmtId="2" fontId="66" fillId="2" borderId="0" xfId="1" applyNumberFormat="1" applyFont="1" applyFill="1" applyAlignment="1" applyProtection="1">
      <alignment horizontal="center" vertical="center"/>
    </xf>
    <xf numFmtId="2" fontId="67" fillId="2" borderId="0" xfId="1" applyNumberFormat="1" applyFont="1" applyFill="1" applyAlignment="1" applyProtection="1">
      <alignment horizontal="center" vertical="center"/>
    </xf>
    <xf numFmtId="2" fontId="54" fillId="2" borderId="0" xfId="0" applyNumberFormat="1" applyFont="1" applyFill="1" applyAlignment="1" applyProtection="1">
      <alignment horizontal="center" vertical="top"/>
    </xf>
    <xf numFmtId="2" fontId="56" fillId="2" borderId="0" xfId="0" applyNumberFormat="1" applyFont="1" applyFill="1" applyAlignment="1" applyProtection="1">
      <alignment horizontal="center" vertical="top"/>
    </xf>
    <xf numFmtId="2" fontId="30" fillId="2" borderId="0" xfId="0" applyNumberFormat="1" applyFont="1" applyFill="1" applyAlignment="1" applyProtection="1">
      <alignment horizontal="center" vertical="center"/>
    </xf>
    <xf numFmtId="2" fontId="43" fillId="2" borderId="52" xfId="0" applyNumberFormat="1" applyFont="1" applyFill="1" applyBorder="1" applyAlignment="1" applyProtection="1">
      <alignment horizontal="center"/>
    </xf>
    <xf numFmtId="2" fontId="43" fillId="2" borderId="27" xfId="0" applyNumberFormat="1" applyFont="1" applyFill="1" applyBorder="1" applyAlignment="1" applyProtection="1">
      <alignment horizontal="center"/>
    </xf>
    <xf numFmtId="2" fontId="43" fillId="2" borderId="0" xfId="0" applyNumberFormat="1" applyFont="1" applyFill="1" applyBorder="1" applyAlignment="1" applyProtection="1">
      <alignment horizontal="center" vertical="top"/>
    </xf>
    <xf numFmtId="1" fontId="34" fillId="0" borderId="0" xfId="0" applyNumberFormat="1" applyFont="1" applyFill="1" applyBorder="1" applyAlignment="1" applyProtection="1">
      <alignment horizontal="left"/>
    </xf>
    <xf numFmtId="2" fontId="5" fillId="2" borderId="1" xfId="0" applyNumberFormat="1" applyFont="1" applyFill="1" applyBorder="1" applyAlignment="1" applyProtection="1">
      <alignment horizontal="center"/>
    </xf>
    <xf numFmtId="2" fontId="25" fillId="0" borderId="0" xfId="0" applyNumberFormat="1" applyFont="1" applyFill="1" applyAlignment="1" applyProtection="1">
      <alignment horizontal="left"/>
    </xf>
    <xf numFmtId="2" fontId="36" fillId="2" borderId="0" xfId="0" applyNumberFormat="1" applyFont="1" applyFill="1" applyBorder="1" applyAlignment="1" applyProtection="1">
      <alignment horizontal="center"/>
    </xf>
    <xf numFmtId="2" fontId="8" fillId="2" borderId="9" xfId="0" applyNumberFormat="1" applyFont="1" applyFill="1" applyBorder="1" applyAlignment="1" applyProtection="1">
      <alignment horizontal="center"/>
    </xf>
    <xf numFmtId="1" fontId="1" fillId="2" borderId="0" xfId="0" applyNumberFormat="1" applyFont="1" applyFill="1" applyAlignment="1" applyProtection="1">
      <alignment horizontal="left"/>
    </xf>
    <xf numFmtId="1" fontId="2" fillId="2" borderId="0" xfId="0" applyNumberFormat="1" applyFont="1" applyFill="1" applyAlignment="1" applyProtection="1">
      <alignment horizontal="left"/>
    </xf>
    <xf numFmtId="2" fontId="34" fillId="2" borderId="0" xfId="0" applyNumberFormat="1" applyFont="1" applyFill="1" applyBorder="1" applyAlignment="1" applyProtection="1">
      <alignment horizontal="center" vertical="top"/>
    </xf>
    <xf numFmtId="2" fontId="1" fillId="2" borderId="42" xfId="0" applyNumberFormat="1" applyFont="1" applyFill="1" applyBorder="1" applyAlignment="1" applyProtection="1">
      <alignment horizontal="left"/>
    </xf>
    <xf numFmtId="2" fontId="2" fillId="2" borderId="5" xfId="0" applyNumberFormat="1" applyFont="1" applyFill="1" applyBorder="1" applyAlignment="1" applyProtection="1">
      <alignment horizontal="center"/>
    </xf>
    <xf numFmtId="2" fontId="2" fillId="2" borderId="1" xfId="0" applyNumberFormat="1" applyFont="1" applyFill="1" applyBorder="1" applyAlignment="1" applyProtection="1">
      <alignment horizontal="center"/>
    </xf>
    <xf numFmtId="2" fontId="8" fillId="0" borderId="1" xfId="0" applyNumberFormat="1" applyFont="1" applyFill="1" applyBorder="1" applyAlignment="1" applyProtection="1">
      <alignment horizontal="center"/>
    </xf>
    <xf numFmtId="166" fontId="45" fillId="2" borderId="12" xfId="0" applyNumberFormat="1" applyFont="1" applyFill="1" applyBorder="1" applyAlignment="1" applyProtection="1">
      <alignment horizontal="center"/>
    </xf>
    <xf numFmtId="2" fontId="2" fillId="2" borderId="9" xfId="0" applyNumberFormat="1" applyFont="1" applyFill="1" applyBorder="1" applyAlignment="1" applyProtection="1">
      <alignment horizontal="center"/>
    </xf>
    <xf numFmtId="2" fontId="125" fillId="0" borderId="10" xfId="0" applyNumberFormat="1" applyFont="1" applyFill="1" applyBorder="1" applyAlignment="1" applyProtection="1">
      <alignment horizontal="left" vertical="center" indent="1"/>
    </xf>
    <xf numFmtId="2" fontId="125" fillId="0" borderId="12" xfId="0" applyNumberFormat="1" applyFont="1" applyFill="1" applyBorder="1" applyAlignment="1" applyProtection="1">
      <alignment horizontal="left" vertical="center" indent="1"/>
    </xf>
    <xf numFmtId="2" fontId="1" fillId="2" borderId="0" xfId="0" applyNumberFormat="1" applyFont="1" applyFill="1" applyAlignment="1" applyProtection="1">
      <alignment horizontal="left"/>
    </xf>
    <xf numFmtId="2" fontId="115" fillId="9" borderId="10" xfId="0" applyNumberFormat="1" applyFont="1" applyFill="1" applyBorder="1" applyAlignment="1" applyProtection="1">
      <alignment horizontal="right" vertical="center"/>
    </xf>
    <xf numFmtId="2" fontId="115" fillId="9" borderId="11" xfId="0" applyNumberFormat="1" applyFont="1" applyFill="1" applyBorder="1" applyAlignment="1" applyProtection="1">
      <alignment horizontal="right" vertical="center"/>
    </xf>
    <xf numFmtId="1" fontId="110" fillId="2" borderId="10" xfId="0" applyNumberFormat="1" applyFont="1" applyFill="1" applyBorder="1" applyAlignment="1" applyProtection="1">
      <alignment horizontal="center"/>
    </xf>
    <xf numFmtId="1" fontId="110" fillId="2" borderId="12" xfId="0" applyNumberFormat="1" applyFont="1" applyFill="1" applyBorder="1" applyAlignment="1" applyProtection="1">
      <alignment horizontal="center"/>
    </xf>
    <xf numFmtId="1" fontId="110" fillId="2" borderId="11" xfId="0" applyNumberFormat="1" applyFont="1" applyFill="1" applyBorder="1" applyAlignment="1" applyProtection="1">
      <alignment horizontal="center"/>
    </xf>
    <xf numFmtId="2" fontId="82" fillId="4" borderId="10" xfId="0" applyNumberFormat="1" applyFont="1" applyFill="1" applyBorder="1" applyAlignment="1" applyProtection="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2" fontId="0" fillId="2" borderId="0" xfId="0" applyNumberFormat="1" applyFill="1" applyAlignment="1" applyProtection="1">
      <alignment horizontal="right"/>
    </xf>
    <xf numFmtId="2" fontId="0" fillId="2" borderId="4" xfId="0" applyNumberFormat="1" applyFill="1" applyBorder="1" applyAlignment="1" applyProtection="1">
      <alignment horizontal="right"/>
    </xf>
    <xf numFmtId="2" fontId="0" fillId="2" borderId="1" xfId="0" applyNumberFormat="1" applyFont="1" applyFill="1" applyBorder="1" applyAlignment="1" applyProtection="1">
      <alignment horizontal="right"/>
    </xf>
    <xf numFmtId="2" fontId="1" fillId="2" borderId="0" xfId="0" applyNumberFormat="1" applyFont="1" applyFill="1" applyAlignment="1" applyProtection="1">
      <alignment horizontal="right"/>
    </xf>
    <xf numFmtId="2" fontId="85" fillId="6" borderId="14" xfId="0" applyNumberFormat="1" applyFont="1" applyFill="1" applyBorder="1" applyAlignment="1" applyProtection="1">
      <alignment horizontal="center" vertical="center" textRotation="90"/>
    </xf>
    <xf numFmtId="2" fontId="85" fillId="6" borderId="6" xfId="0" applyNumberFormat="1" applyFont="1" applyFill="1" applyBorder="1" applyAlignment="1" applyProtection="1">
      <alignment horizontal="center" vertical="center" textRotation="90"/>
    </xf>
    <xf numFmtId="2" fontId="85" fillId="6" borderId="15" xfId="0" applyNumberFormat="1" applyFont="1" applyFill="1" applyBorder="1" applyAlignment="1" applyProtection="1">
      <alignment horizontal="center" vertical="center" textRotation="90"/>
    </xf>
    <xf numFmtId="2" fontId="78" fillId="0" borderId="4" xfId="0" applyNumberFormat="1" applyFont="1" applyFill="1" applyBorder="1" applyAlignment="1" applyProtection="1">
      <alignment horizontal="left" vertical="center" indent="1"/>
    </xf>
    <xf numFmtId="2" fontId="78" fillId="0" borderId="0" xfId="0" applyNumberFormat="1" applyFont="1" applyFill="1" applyBorder="1" applyAlignment="1" applyProtection="1">
      <alignment horizontal="left" vertical="center" indent="1"/>
    </xf>
    <xf numFmtId="164" fontId="78" fillId="0" borderId="5" xfId="0" applyNumberFormat="1" applyFont="1" applyFill="1" applyBorder="1" applyAlignment="1" applyProtection="1">
      <alignment horizontal="left" vertical="center" indent="1"/>
    </xf>
    <xf numFmtId="164" fontId="78" fillId="0" borderId="1" xfId="0" applyNumberFormat="1" applyFont="1" applyFill="1" applyBorder="1" applyAlignment="1" applyProtection="1">
      <alignment horizontal="left" vertical="center" indent="1"/>
    </xf>
    <xf numFmtId="2" fontId="0" fillId="2" borderId="1" xfId="0" applyNumberFormat="1" applyFill="1" applyBorder="1" applyAlignment="1" applyProtection="1">
      <alignment horizontal="right"/>
    </xf>
    <xf numFmtId="2" fontId="8" fillId="0" borderId="12" xfId="0" applyNumberFormat="1" applyFont="1" applyFill="1" applyBorder="1" applyAlignment="1" applyProtection="1">
      <alignment horizontal="left"/>
    </xf>
    <xf numFmtId="2" fontId="8" fillId="0" borderId="11" xfId="0" applyNumberFormat="1" applyFont="1" applyFill="1" applyBorder="1" applyAlignment="1" applyProtection="1">
      <alignment horizontal="left"/>
    </xf>
    <xf numFmtId="2" fontId="46" fillId="2" borderId="0" xfId="0" applyNumberFormat="1" applyFont="1" applyFill="1" applyBorder="1" applyAlignment="1" applyProtection="1">
      <alignment horizontal="left" vertical="top"/>
    </xf>
    <xf numFmtId="2" fontId="0" fillId="2" borderId="7" xfId="0" applyNumberFormat="1" applyFill="1" applyBorder="1" applyAlignment="1" applyProtection="1">
      <alignment horizontal="right"/>
    </xf>
    <xf numFmtId="2" fontId="0" fillId="2" borderId="8" xfId="0" applyNumberFormat="1" applyFill="1" applyBorder="1" applyAlignment="1" applyProtection="1">
      <alignment horizontal="right"/>
    </xf>
    <xf numFmtId="2" fontId="0" fillId="2" borderId="9" xfId="0" applyNumberFormat="1" applyFill="1" applyBorder="1" applyAlignment="1" applyProtection="1">
      <alignment horizontal="right"/>
    </xf>
    <xf numFmtId="1" fontId="30" fillId="2" borderId="1" xfId="0" applyNumberFormat="1" applyFont="1" applyFill="1" applyBorder="1" applyAlignment="1" applyProtection="1">
      <alignment horizontal="left" vertical="center"/>
    </xf>
    <xf numFmtId="2" fontId="8" fillId="0" borderId="10" xfId="0" applyNumberFormat="1" applyFont="1" applyFill="1" applyBorder="1" applyAlignment="1" applyProtection="1">
      <alignment horizontal="center"/>
    </xf>
    <xf numFmtId="2" fontId="8" fillId="0" borderId="12" xfId="0" applyNumberFormat="1" applyFont="1" applyFill="1" applyBorder="1" applyAlignment="1" applyProtection="1">
      <alignment horizontal="center"/>
    </xf>
    <xf numFmtId="2" fontId="8" fillId="0" borderId="5" xfId="0" applyNumberFormat="1" applyFont="1" applyFill="1" applyBorder="1" applyAlignment="1" applyProtection="1">
      <alignment horizontal="center"/>
    </xf>
    <xf numFmtId="3" fontId="8" fillId="2" borderId="4" xfId="0" applyNumberFormat="1" applyFont="1" applyFill="1" applyBorder="1" applyAlignment="1" applyProtection="1">
      <alignment horizontal="center"/>
    </xf>
    <xf numFmtId="3" fontId="8" fillId="2" borderId="3" xfId="0" applyNumberFormat="1" applyFont="1" applyFill="1" applyBorder="1" applyAlignment="1" applyProtection="1">
      <alignment horizontal="center"/>
    </xf>
    <xf numFmtId="3" fontId="8" fillId="2" borderId="10" xfId="0" applyNumberFormat="1" applyFont="1" applyFill="1" applyBorder="1" applyAlignment="1" applyProtection="1">
      <alignment horizontal="center"/>
    </xf>
    <xf numFmtId="3" fontId="8" fillId="2" borderId="11" xfId="0" applyNumberFormat="1" applyFont="1" applyFill="1" applyBorder="1" applyAlignment="1" applyProtection="1">
      <alignment horizontal="center"/>
    </xf>
    <xf numFmtId="2" fontId="2" fillId="2" borderId="5" xfId="0" applyNumberFormat="1" applyFont="1" applyFill="1" applyBorder="1" applyAlignment="1" applyProtection="1">
      <alignment horizontal="center" vertical="top"/>
    </xf>
    <xf numFmtId="2" fontId="2" fillId="2" borderId="2" xfId="0" applyNumberFormat="1" applyFont="1" applyFill="1" applyBorder="1" applyAlignment="1" applyProtection="1">
      <alignment horizontal="center" vertical="top"/>
    </xf>
    <xf numFmtId="166" fontId="8" fillId="0" borderId="5" xfId="0" applyNumberFormat="1" applyFont="1" applyFill="1" applyBorder="1" applyAlignment="1" applyProtection="1">
      <alignment horizontal="center"/>
    </xf>
    <xf numFmtId="166" fontId="8" fillId="0" borderId="2" xfId="0" applyNumberFormat="1" applyFont="1" applyFill="1" applyBorder="1" applyAlignment="1" applyProtection="1">
      <alignment horizontal="center"/>
    </xf>
    <xf numFmtId="4" fontId="22" fillId="2" borderId="5" xfId="0" applyNumberFormat="1" applyFont="1" applyFill="1" applyBorder="1" applyAlignment="1" applyProtection="1">
      <alignment horizontal="center"/>
    </xf>
    <xf numFmtId="4" fontId="22" fillId="2" borderId="2" xfId="0" applyNumberFormat="1" applyFont="1" applyFill="1" applyBorder="1" applyAlignment="1" applyProtection="1">
      <alignment horizontal="center"/>
    </xf>
    <xf numFmtId="2" fontId="2" fillId="2" borderId="1" xfId="0" applyNumberFormat="1" applyFont="1" applyFill="1" applyBorder="1" applyAlignment="1" applyProtection="1">
      <alignment horizontal="center" vertical="top"/>
    </xf>
    <xf numFmtId="4" fontId="8" fillId="2" borderId="5" xfId="0" applyNumberFormat="1" applyFont="1" applyFill="1" applyBorder="1" applyAlignment="1" applyProtection="1">
      <alignment horizontal="center"/>
    </xf>
    <xf numFmtId="4" fontId="8" fillId="2" borderId="2" xfId="0" applyNumberFormat="1" applyFont="1" applyFill="1" applyBorder="1" applyAlignment="1" applyProtection="1">
      <alignment horizontal="center"/>
    </xf>
    <xf numFmtId="2" fontId="8" fillId="0" borderId="1" xfId="0" applyNumberFormat="1" applyFont="1" applyFill="1" applyBorder="1" applyAlignment="1" applyProtection="1">
      <alignment horizontal="left"/>
    </xf>
    <xf numFmtId="2" fontId="8" fillId="0" borderId="2" xfId="0" applyNumberFormat="1" applyFont="1" applyFill="1" applyBorder="1" applyAlignment="1" applyProtection="1">
      <alignment horizontal="left"/>
    </xf>
    <xf numFmtId="2" fontId="68" fillId="2" borderId="28" xfId="0" applyNumberFormat="1" applyFont="1" applyFill="1" applyBorder="1" applyAlignment="1" applyProtection="1">
      <alignment horizontal="right"/>
    </xf>
    <xf numFmtId="2" fontId="4" fillId="0" borderId="5" xfId="0" applyNumberFormat="1" applyFont="1" applyFill="1" applyBorder="1" applyAlignment="1" applyProtection="1">
      <alignment horizontal="center"/>
    </xf>
    <xf numFmtId="2" fontId="4" fillId="0" borderId="2" xfId="0" applyNumberFormat="1" applyFont="1" applyFill="1" applyBorder="1" applyAlignment="1" applyProtection="1">
      <alignment horizontal="center"/>
    </xf>
    <xf numFmtId="167" fontId="8" fillId="0" borderId="4" xfId="0" applyNumberFormat="1" applyFont="1" applyFill="1" applyBorder="1" applyAlignment="1" applyProtection="1">
      <alignment horizontal="center"/>
    </xf>
    <xf numFmtId="167" fontId="8" fillId="0" borderId="3" xfId="0" applyNumberFormat="1" applyFont="1" applyFill="1" applyBorder="1" applyAlignment="1" applyProtection="1">
      <alignment horizontal="center"/>
    </xf>
    <xf numFmtId="2" fontId="74" fillId="4" borderId="0" xfId="0" applyNumberFormat="1" applyFont="1" applyFill="1" applyAlignment="1" applyProtection="1">
      <alignment horizontal="center" vertical="center"/>
    </xf>
    <xf numFmtId="2" fontId="64" fillId="2" borderId="0" xfId="0" applyNumberFormat="1" applyFont="1" applyFill="1" applyAlignment="1" applyProtection="1">
      <alignment horizontal="center"/>
    </xf>
    <xf numFmtId="2" fontId="26" fillId="2" borderId="0" xfId="0" applyNumberFormat="1" applyFont="1" applyFill="1" applyBorder="1" applyAlignment="1" applyProtection="1">
      <alignment horizontal="center"/>
    </xf>
    <xf numFmtId="2" fontId="26" fillId="2" borderId="0" xfId="0" applyNumberFormat="1" applyFont="1" applyFill="1" applyAlignment="1" applyProtection="1">
      <alignment horizontal="center" vertical="top" wrapText="1"/>
    </xf>
    <xf numFmtId="2" fontId="26" fillId="2" borderId="0" xfId="0" applyNumberFormat="1" applyFont="1" applyFill="1" applyAlignment="1" applyProtection="1">
      <alignment horizontal="center" vertical="top"/>
    </xf>
    <xf numFmtId="3" fontId="8" fillId="2" borderId="5" xfId="0" applyNumberFormat="1" applyFont="1" applyFill="1" applyBorder="1" applyAlignment="1" applyProtection="1">
      <alignment horizontal="center"/>
    </xf>
    <xf numFmtId="3" fontId="8" fillId="2" borderId="2" xfId="0" applyNumberFormat="1" applyFont="1" applyFill="1" applyBorder="1" applyAlignment="1" applyProtection="1">
      <alignment horizontal="center"/>
    </xf>
    <xf numFmtId="167" fontId="8" fillId="0" borderId="5" xfId="0" applyNumberFormat="1" applyFont="1" applyFill="1" applyBorder="1" applyAlignment="1" applyProtection="1">
      <alignment horizontal="center"/>
    </xf>
    <xf numFmtId="167" fontId="8" fillId="2" borderId="4" xfId="0" applyNumberFormat="1" applyFont="1" applyFill="1" applyBorder="1" applyAlignment="1" applyProtection="1">
      <alignment horizontal="center"/>
    </xf>
    <xf numFmtId="167" fontId="8" fillId="2" borderId="3" xfId="0" applyNumberFormat="1" applyFont="1" applyFill="1" applyBorder="1" applyAlignment="1" applyProtection="1">
      <alignment horizontal="center"/>
    </xf>
    <xf numFmtId="167" fontId="8" fillId="2" borderId="10" xfId="0" applyNumberFormat="1" applyFont="1" applyFill="1" applyBorder="1" applyAlignment="1" applyProtection="1">
      <alignment horizontal="center"/>
    </xf>
    <xf numFmtId="167" fontId="8" fillId="2" borderId="11" xfId="0" applyNumberFormat="1" applyFont="1" applyFill="1" applyBorder="1" applyAlignment="1" applyProtection="1">
      <alignment horizontal="center"/>
    </xf>
    <xf numFmtId="167" fontId="23" fillId="2" borderId="5" xfId="0" applyNumberFormat="1" applyFont="1" applyFill="1" applyBorder="1" applyAlignment="1" applyProtection="1">
      <alignment horizontal="center"/>
    </xf>
    <xf numFmtId="167" fontId="23" fillId="2" borderId="2" xfId="0" applyNumberFormat="1" applyFont="1" applyFill="1" applyBorder="1" applyAlignment="1" applyProtection="1">
      <alignment horizontal="center"/>
    </xf>
    <xf numFmtId="3" fontId="8" fillId="0" borderId="4" xfId="0" applyNumberFormat="1" applyFont="1" applyFill="1" applyBorder="1" applyAlignment="1" applyProtection="1">
      <alignment horizontal="center"/>
    </xf>
    <xf numFmtId="3" fontId="8" fillId="0" borderId="3" xfId="0" applyNumberFormat="1" applyFont="1" applyFill="1" applyBorder="1" applyAlignment="1" applyProtection="1">
      <alignment horizontal="center"/>
    </xf>
    <xf numFmtId="0" fontId="29" fillId="2" borderId="31" xfId="0" applyFont="1" applyFill="1" applyBorder="1" applyAlignment="1" applyProtection="1">
      <alignment horizontal="left" indent="1"/>
    </xf>
    <xf numFmtId="0" fontId="29" fillId="2" borderId="0" xfId="0" applyFont="1" applyFill="1" applyBorder="1" applyAlignment="1" applyProtection="1">
      <alignment horizontal="left" indent="1"/>
    </xf>
    <xf numFmtId="0" fontId="29" fillId="2" borderId="27" xfId="0" applyFont="1" applyFill="1" applyBorder="1" applyAlignment="1" applyProtection="1">
      <alignment horizontal="left" indent="1"/>
    </xf>
    <xf numFmtId="167" fontId="23" fillId="2" borderId="4" xfId="0" applyNumberFormat="1" applyFont="1" applyFill="1" applyBorder="1" applyAlignment="1" applyProtection="1">
      <alignment horizontal="center"/>
    </xf>
    <xf numFmtId="167" fontId="23" fillId="2" borderId="3" xfId="0" applyNumberFormat="1" applyFont="1" applyFill="1" applyBorder="1" applyAlignment="1" applyProtection="1">
      <alignment horizontal="center"/>
    </xf>
    <xf numFmtId="2" fontId="0" fillId="0" borderId="12" xfId="0" applyNumberFormat="1" applyFill="1" applyBorder="1" applyAlignment="1" applyProtection="1">
      <alignment horizontal="center"/>
    </xf>
    <xf numFmtId="2" fontId="24" fillId="3" borderId="39" xfId="0" applyNumberFormat="1" applyFont="1" applyFill="1" applyBorder="1" applyAlignment="1" applyProtection="1">
      <alignment horizontal="left" vertical="center"/>
    </xf>
    <xf numFmtId="2" fontId="24" fillId="3" borderId="59" xfId="0" applyNumberFormat="1" applyFont="1" applyFill="1" applyBorder="1" applyAlignment="1" applyProtection="1">
      <alignment horizontal="left" vertical="center"/>
    </xf>
    <xf numFmtId="2" fontId="24" fillId="3" borderId="38" xfId="0" applyNumberFormat="1" applyFont="1" applyFill="1" applyBorder="1" applyAlignment="1" applyProtection="1">
      <alignment horizontal="left" vertical="center"/>
    </xf>
    <xf numFmtId="2" fontId="8" fillId="2" borderId="1" xfId="0" applyNumberFormat="1" applyFont="1" applyFill="1" applyBorder="1" applyAlignment="1" applyProtection="1">
      <alignment horizontal="center"/>
    </xf>
    <xf numFmtId="2" fontId="8" fillId="2" borderId="2" xfId="0" applyNumberFormat="1" applyFont="1" applyFill="1" applyBorder="1" applyAlignment="1" applyProtection="1">
      <alignment horizontal="center"/>
    </xf>
    <xf numFmtId="2" fontId="26" fillId="2" borderId="0" xfId="0" applyNumberFormat="1" applyFont="1" applyFill="1" applyBorder="1" applyAlignment="1" applyProtection="1">
      <alignment horizontal="right" vertical="top"/>
    </xf>
    <xf numFmtId="2" fontId="29" fillId="2" borderId="4" xfId="0" applyNumberFormat="1" applyFont="1" applyFill="1" applyBorder="1" applyAlignment="1" applyProtection="1">
      <alignment horizontal="left" vertical="center"/>
    </xf>
    <xf numFmtId="2" fontId="29" fillId="2" borderId="0" xfId="0" applyNumberFormat="1" applyFont="1" applyFill="1" applyBorder="1" applyAlignment="1" applyProtection="1">
      <alignment horizontal="left" vertical="center"/>
    </xf>
    <xf numFmtId="2" fontId="29" fillId="2" borderId="3" xfId="0" applyNumberFormat="1" applyFont="1" applyFill="1" applyBorder="1" applyAlignment="1" applyProtection="1">
      <alignment horizontal="left" vertical="center"/>
    </xf>
    <xf numFmtId="2" fontId="63" fillId="2" borderId="7" xfId="0" applyNumberFormat="1" applyFont="1" applyFill="1" applyBorder="1" applyAlignment="1" applyProtection="1">
      <alignment horizontal="center"/>
    </xf>
    <xf numFmtId="2" fontId="63" fillId="2" borderId="8" xfId="0" applyNumberFormat="1" applyFont="1" applyFill="1" applyBorder="1" applyAlignment="1" applyProtection="1">
      <alignment horizontal="center"/>
    </xf>
    <xf numFmtId="2" fontId="63" fillId="2" borderId="9" xfId="0" applyNumberFormat="1" applyFont="1" applyFill="1" applyBorder="1" applyAlignment="1" applyProtection="1">
      <alignment horizontal="center"/>
    </xf>
    <xf numFmtId="1" fontId="45" fillId="2" borderId="12" xfId="0" applyNumberFormat="1" applyFont="1" applyFill="1" applyBorder="1" applyAlignment="1" applyProtection="1">
      <alignment horizontal="center"/>
    </xf>
    <xf numFmtId="2" fontId="69" fillId="2" borderId="1" xfId="0" applyNumberFormat="1" applyFont="1" applyFill="1" applyBorder="1" applyAlignment="1" applyProtection="1">
      <alignment horizontal="left" vertical="top"/>
    </xf>
    <xf numFmtId="2" fontId="2" fillId="0" borderId="5" xfId="0" applyNumberFormat="1" applyFont="1" applyFill="1" applyBorder="1" applyAlignment="1" applyProtection="1">
      <alignment horizontal="center"/>
    </xf>
    <xf numFmtId="2" fontId="2" fillId="0" borderId="1" xfId="0" applyNumberFormat="1" applyFont="1" applyFill="1" applyBorder="1" applyAlignment="1" applyProtection="1">
      <alignment horizontal="center"/>
    </xf>
    <xf numFmtId="2" fontId="29" fillId="2" borderId="4" xfId="0" applyNumberFormat="1" applyFont="1" applyFill="1" applyBorder="1" applyAlignment="1" applyProtection="1">
      <alignment horizontal="left" vertical="top"/>
    </xf>
    <xf numFmtId="2" fontId="29" fillId="2" borderId="0" xfId="0" applyNumberFormat="1" applyFont="1" applyFill="1" applyBorder="1" applyAlignment="1" applyProtection="1">
      <alignment horizontal="left" vertical="top"/>
    </xf>
    <xf numFmtId="2" fontId="29" fillId="2" borderId="3" xfId="0" applyNumberFormat="1" applyFont="1" applyFill="1" applyBorder="1" applyAlignment="1" applyProtection="1">
      <alignment horizontal="left" vertical="top"/>
    </xf>
    <xf numFmtId="2" fontId="4" fillId="0" borderId="4" xfId="0" applyNumberFormat="1" applyFont="1" applyFill="1" applyBorder="1" applyAlignment="1" applyProtection="1">
      <alignment horizontal="center"/>
    </xf>
    <xf numFmtId="2" fontId="4" fillId="0" borderId="3" xfId="0" applyNumberFormat="1" applyFont="1" applyFill="1" applyBorder="1" applyAlignment="1" applyProtection="1">
      <alignment horizontal="center"/>
    </xf>
    <xf numFmtId="2" fontId="29" fillId="2" borderId="10" xfId="0" applyNumberFormat="1" applyFont="1" applyFill="1" applyBorder="1" applyAlignment="1" applyProtection="1">
      <alignment horizontal="left" vertical="top" wrapText="1"/>
    </xf>
    <xf numFmtId="2" fontId="29" fillId="2" borderId="12" xfId="0" applyNumberFormat="1" applyFont="1" applyFill="1" applyBorder="1" applyAlignment="1" applyProtection="1">
      <alignment horizontal="left" vertical="top" wrapText="1"/>
    </xf>
    <xf numFmtId="2" fontId="29" fillId="2" borderId="11" xfId="0" applyNumberFormat="1" applyFont="1" applyFill="1" applyBorder="1" applyAlignment="1" applyProtection="1">
      <alignment horizontal="left" vertical="top" wrapText="1"/>
    </xf>
    <xf numFmtId="2" fontId="29" fillId="2" borderId="4" xfId="0" applyNumberFormat="1" applyFont="1" applyFill="1" applyBorder="1" applyAlignment="1" applyProtection="1">
      <alignment horizontal="left" vertical="top" wrapText="1"/>
    </xf>
    <xf numFmtId="2" fontId="29" fillId="2" borderId="0" xfId="0" applyNumberFormat="1" applyFont="1" applyFill="1" applyBorder="1" applyAlignment="1" applyProtection="1">
      <alignment horizontal="left" vertical="top" wrapText="1"/>
    </xf>
    <xf numFmtId="2" fontId="29" fillId="2" borderId="3" xfId="0" applyNumberFormat="1" applyFont="1" applyFill="1" applyBorder="1" applyAlignment="1" applyProtection="1">
      <alignment horizontal="left" vertical="top" wrapText="1"/>
    </xf>
    <xf numFmtId="2" fontId="29" fillId="2" borderId="5" xfId="0" applyNumberFormat="1" applyFont="1" applyFill="1" applyBorder="1" applyAlignment="1" applyProtection="1">
      <alignment horizontal="left" vertical="top" wrapText="1"/>
    </xf>
    <xf numFmtId="2" fontId="29" fillId="2" borderId="1" xfId="0" applyNumberFormat="1" applyFont="1" applyFill="1" applyBorder="1" applyAlignment="1" applyProtection="1">
      <alignment horizontal="left" vertical="top" wrapText="1"/>
    </xf>
    <xf numFmtId="2" fontId="29" fillId="2" borderId="2" xfId="0" applyNumberFormat="1" applyFont="1" applyFill="1" applyBorder="1" applyAlignment="1" applyProtection="1">
      <alignment horizontal="left" vertical="top" wrapText="1"/>
    </xf>
    <xf numFmtId="2" fontId="29" fillId="2" borderId="4" xfId="0" applyNumberFormat="1" applyFont="1" applyFill="1" applyBorder="1" applyAlignment="1" applyProtection="1">
      <alignment horizontal="left"/>
    </xf>
    <xf numFmtId="2" fontId="29" fillId="2" borderId="0" xfId="0" applyNumberFormat="1" applyFont="1" applyFill="1" applyBorder="1" applyAlignment="1" applyProtection="1">
      <alignment horizontal="left"/>
    </xf>
    <xf numFmtId="2" fontId="29" fillId="2" borderId="3" xfId="0" applyNumberFormat="1" applyFont="1" applyFill="1" applyBorder="1" applyAlignment="1" applyProtection="1">
      <alignment horizontal="left"/>
    </xf>
    <xf numFmtId="2" fontId="0" fillId="0" borderId="1" xfId="0" applyNumberFormat="1" applyFill="1" applyBorder="1" applyAlignment="1" applyProtection="1">
      <alignment horizontal="center"/>
    </xf>
    <xf numFmtId="2" fontId="2" fillId="0" borderId="10" xfId="0" applyNumberFormat="1" applyFont="1" applyFill="1" applyBorder="1" applyAlignment="1" applyProtection="1">
      <alignment horizontal="center"/>
    </xf>
    <xf numFmtId="2" fontId="2" fillId="0" borderId="12" xfId="0" applyNumberFormat="1" applyFont="1" applyFill="1" applyBorder="1" applyAlignment="1" applyProtection="1">
      <alignment horizontal="center"/>
    </xf>
    <xf numFmtId="2" fontId="135" fillId="2" borderId="7" xfId="0" applyNumberFormat="1" applyFont="1" applyFill="1" applyBorder="1" applyAlignment="1" applyProtection="1">
      <alignment horizontal="left" vertical="center"/>
    </xf>
    <xf numFmtId="2" fontId="135" fillId="2" borderId="8" xfId="0" applyNumberFormat="1" applyFont="1" applyFill="1" applyBorder="1" applyAlignment="1" applyProtection="1">
      <alignment horizontal="left" vertical="center"/>
    </xf>
    <xf numFmtId="2" fontId="135" fillId="2" borderId="9" xfId="0" applyNumberFormat="1" applyFont="1" applyFill="1" applyBorder="1" applyAlignment="1" applyProtection="1">
      <alignment horizontal="left" vertical="center"/>
    </xf>
    <xf numFmtId="2" fontId="26" fillId="2" borderId="12" xfId="0" applyNumberFormat="1" applyFont="1" applyFill="1" applyBorder="1" applyAlignment="1" applyProtection="1">
      <alignment horizontal="right" vertical="center"/>
    </xf>
    <xf numFmtId="2" fontId="88" fillId="0" borderId="4" xfId="0" applyNumberFormat="1" applyFont="1" applyFill="1" applyBorder="1" applyAlignment="1" applyProtection="1">
      <alignment horizontal="center"/>
    </xf>
    <xf numFmtId="2" fontId="0" fillId="0" borderId="4" xfId="0" applyNumberFormat="1" applyFill="1" applyBorder="1" applyAlignment="1" applyProtection="1">
      <alignment horizontal="center"/>
    </xf>
    <xf numFmtId="166" fontId="45" fillId="2" borderId="0" xfId="0" quotePrefix="1" applyNumberFormat="1" applyFont="1" applyFill="1" applyBorder="1" applyAlignment="1" applyProtection="1">
      <alignment horizontal="left" vertical="top"/>
    </xf>
    <xf numFmtId="1" fontId="1" fillId="2" borderId="1" xfId="0" applyNumberFormat="1" applyFont="1" applyFill="1" applyBorder="1" applyAlignment="1" applyProtection="1">
      <alignment horizontal="left"/>
    </xf>
    <xf numFmtId="2" fontId="81" fillId="5" borderId="0" xfId="1" applyNumberFormat="1" applyFont="1" applyFill="1" applyAlignment="1" applyProtection="1">
      <alignment horizontal="center" vertical="center"/>
    </xf>
    <xf numFmtId="0" fontId="81" fillId="5" borderId="0" xfId="1" applyFont="1" applyFill="1" applyAlignment="1" applyProtection="1">
      <alignment horizontal="center" vertical="center"/>
    </xf>
    <xf numFmtId="0" fontId="81" fillId="5" borderId="27" xfId="1" applyFont="1" applyFill="1" applyBorder="1" applyAlignment="1" applyProtection="1">
      <alignment horizontal="center" vertical="center"/>
    </xf>
    <xf numFmtId="0" fontId="29" fillId="2" borderId="31" xfId="0" quotePrefix="1" applyFont="1" applyFill="1" applyBorder="1" applyAlignment="1" applyProtection="1">
      <alignment horizontal="left" indent="1"/>
    </xf>
    <xf numFmtId="0" fontId="29" fillId="2" borderId="0" xfId="0" quotePrefix="1" applyFont="1" applyFill="1" applyBorder="1" applyAlignment="1" applyProtection="1">
      <alignment horizontal="left" indent="1"/>
    </xf>
    <xf numFmtId="0" fontId="29" fillId="2" borderId="27" xfId="0" quotePrefix="1" applyFont="1" applyFill="1" applyBorder="1" applyAlignment="1" applyProtection="1">
      <alignment horizontal="left" indent="1"/>
    </xf>
    <xf numFmtId="0" fontId="58" fillId="2" borderId="0" xfId="0" applyFont="1" applyFill="1" applyBorder="1" applyAlignment="1" applyProtection="1">
      <alignment horizontal="left" vertical="top" wrapText="1" indent="1"/>
    </xf>
    <xf numFmtId="0" fontId="58" fillId="2" borderId="27" xfId="0" applyFont="1" applyFill="1" applyBorder="1" applyAlignment="1" applyProtection="1">
      <alignment horizontal="left" vertical="top" wrapText="1" indent="1"/>
    </xf>
    <xf numFmtId="0" fontId="58" fillId="2" borderId="31" xfId="0" applyFont="1" applyFill="1" applyBorder="1" applyAlignment="1" applyProtection="1">
      <alignment horizontal="left" vertical="top" wrapText="1" indent="1"/>
    </xf>
    <xf numFmtId="2" fontId="12" fillId="2" borderId="29" xfId="0" applyNumberFormat="1" applyFont="1" applyFill="1" applyBorder="1" applyAlignment="1" applyProtection="1">
      <alignment horizontal="center"/>
    </xf>
    <xf numFmtId="2" fontId="12" fillId="2" borderId="30" xfId="0" applyNumberFormat="1" applyFont="1" applyFill="1" applyBorder="1" applyAlignment="1" applyProtection="1">
      <alignment horizontal="center"/>
    </xf>
    <xf numFmtId="167" fontId="23" fillId="2" borderId="7" xfId="0" applyNumberFormat="1" applyFont="1" applyFill="1" applyBorder="1" applyAlignment="1" applyProtection="1">
      <alignment horizontal="center"/>
    </xf>
    <xf numFmtId="167" fontId="23" fillId="2" borderId="9" xfId="0" applyNumberFormat="1" applyFont="1" applyFill="1" applyBorder="1" applyAlignment="1" applyProtection="1">
      <alignment horizontal="center"/>
    </xf>
    <xf numFmtId="2" fontId="2" fillId="2" borderId="7" xfId="0" applyNumberFormat="1" applyFont="1" applyFill="1" applyBorder="1" applyAlignment="1" applyProtection="1">
      <alignment horizontal="center" vertical="top"/>
    </xf>
    <xf numFmtId="2" fontId="2" fillId="2" borderId="9" xfId="0" applyNumberFormat="1" applyFont="1" applyFill="1" applyBorder="1" applyAlignment="1" applyProtection="1">
      <alignment horizontal="center" vertical="top"/>
    </xf>
    <xf numFmtId="0" fontId="89" fillId="2" borderId="0" xfId="1" applyFont="1" applyFill="1" applyAlignment="1" applyProtection="1">
      <alignment horizontal="right" vertical="top" wrapText="1"/>
    </xf>
    <xf numFmtId="167" fontId="23" fillId="2" borderId="10" xfId="0" applyNumberFormat="1" applyFont="1" applyFill="1" applyBorder="1" applyAlignment="1" applyProtection="1">
      <alignment horizontal="center"/>
    </xf>
    <xf numFmtId="167" fontId="23" fillId="2" borderId="11" xfId="0" applyNumberFormat="1" applyFont="1" applyFill="1" applyBorder="1" applyAlignment="1" applyProtection="1">
      <alignment horizontal="center"/>
    </xf>
    <xf numFmtId="0" fontId="47" fillId="2" borderId="31" xfId="0" applyFont="1" applyFill="1" applyBorder="1" applyAlignment="1" applyProtection="1">
      <alignment horizontal="left" indent="1"/>
    </xf>
    <xf numFmtId="0" fontId="47" fillId="2" borderId="0" xfId="0" applyFont="1" applyFill="1" applyBorder="1" applyAlignment="1" applyProtection="1">
      <alignment horizontal="left" indent="1"/>
    </xf>
    <xf numFmtId="0" fontId="47" fillId="2" borderId="27" xfId="0" applyFont="1" applyFill="1" applyBorder="1" applyAlignment="1" applyProtection="1">
      <alignment horizontal="left" indent="1"/>
    </xf>
    <xf numFmtId="0" fontId="58" fillId="2" borderId="31" xfId="0" quotePrefix="1" applyFont="1" applyFill="1" applyBorder="1" applyAlignment="1" applyProtection="1">
      <alignment horizontal="left" indent="1"/>
    </xf>
    <xf numFmtId="166" fontId="8" fillId="2" borderId="5" xfId="0" applyNumberFormat="1" applyFont="1" applyFill="1" applyBorder="1" applyAlignment="1" applyProtection="1">
      <alignment horizontal="center"/>
    </xf>
    <xf numFmtId="166" fontId="8" fillId="2" borderId="2" xfId="0" applyNumberFormat="1" applyFont="1" applyFill="1" applyBorder="1" applyAlignment="1" applyProtection="1">
      <alignment horizontal="center"/>
    </xf>
    <xf numFmtId="2" fontId="61" fillId="2" borderId="7" xfId="0" applyNumberFormat="1" applyFont="1" applyFill="1" applyBorder="1" applyAlignment="1" applyProtection="1">
      <alignment horizontal="center"/>
    </xf>
    <xf numFmtId="2" fontId="61" fillId="2" borderId="9" xfId="0" applyNumberFormat="1" applyFont="1" applyFill="1" applyBorder="1" applyAlignment="1" applyProtection="1">
      <alignment horizontal="center"/>
    </xf>
    <xf numFmtId="4" fontId="8" fillId="0" borderId="5" xfId="0" applyNumberFormat="1" applyFont="1" applyFill="1" applyBorder="1" applyAlignment="1" applyProtection="1">
      <alignment horizontal="center"/>
    </xf>
    <xf numFmtId="4" fontId="8" fillId="0" borderId="2" xfId="0" applyNumberFormat="1" applyFont="1" applyFill="1" applyBorder="1" applyAlignment="1" applyProtection="1">
      <alignment horizontal="center"/>
    </xf>
    <xf numFmtId="2" fontId="80" fillId="5" borderId="0" xfId="0" applyNumberFormat="1" applyFont="1" applyFill="1" applyAlignment="1" applyProtection="1">
      <alignment horizontal="right" vertical="center"/>
    </xf>
    <xf numFmtId="2" fontId="12" fillId="2" borderId="35" xfId="0" applyNumberFormat="1" applyFont="1" applyFill="1" applyBorder="1" applyAlignment="1" applyProtection="1">
      <alignment horizontal="right"/>
    </xf>
    <xf numFmtId="2" fontId="12" fillId="2" borderId="29" xfId="0" applyNumberFormat="1" applyFont="1" applyFill="1" applyBorder="1" applyAlignment="1" applyProtection="1">
      <alignment horizontal="right"/>
    </xf>
    <xf numFmtId="2" fontId="12" fillId="2" borderId="1" xfId="0" applyNumberFormat="1" applyFont="1" applyFill="1" applyBorder="1" applyAlignment="1" applyProtection="1">
      <alignment horizontal="center"/>
    </xf>
    <xf numFmtId="2" fontId="12" fillId="2" borderId="73" xfId="0" applyNumberFormat="1" applyFont="1" applyFill="1" applyBorder="1" applyAlignment="1" applyProtection="1">
      <alignment horizontal="center"/>
    </xf>
    <xf numFmtId="1" fontId="44" fillId="2" borderId="12" xfId="0" applyNumberFormat="1" applyFont="1" applyFill="1" applyBorder="1" applyAlignment="1" applyProtection="1">
      <alignment horizontal="left"/>
    </xf>
    <xf numFmtId="166" fontId="44" fillId="2" borderId="12" xfId="0" applyNumberFormat="1" applyFont="1" applyFill="1" applyBorder="1" applyAlignment="1" applyProtection="1">
      <alignment horizontal="right"/>
    </xf>
    <xf numFmtId="2" fontId="29" fillId="2" borderId="5" xfId="0" applyNumberFormat="1" applyFont="1" applyFill="1" applyBorder="1" applyAlignment="1" applyProtection="1">
      <alignment horizontal="left" vertical="top"/>
    </xf>
    <xf numFmtId="2" fontId="29" fillId="2" borderId="1" xfId="0" applyNumberFormat="1" applyFont="1" applyFill="1" applyBorder="1" applyAlignment="1" applyProtection="1">
      <alignment horizontal="left" vertical="top"/>
    </xf>
    <xf numFmtId="2" fontId="29" fillId="2" borderId="2" xfId="0" applyNumberFormat="1" applyFont="1" applyFill="1" applyBorder="1" applyAlignment="1" applyProtection="1">
      <alignment horizontal="left" vertical="top"/>
    </xf>
    <xf numFmtId="2" fontId="85" fillId="4" borderId="0" xfId="0" applyNumberFormat="1" applyFont="1" applyFill="1" applyAlignment="1" applyProtection="1">
      <alignment horizontal="left" vertical="center"/>
    </xf>
    <xf numFmtId="0" fontId="117" fillId="4" borderId="61" xfId="0" applyNumberFormat="1" applyFont="1" applyFill="1" applyBorder="1" applyAlignment="1" applyProtection="1">
      <alignment horizontal="center" vertical="center"/>
    </xf>
    <xf numFmtId="0" fontId="117" fillId="4" borderId="62" xfId="0" applyNumberFormat="1" applyFont="1" applyFill="1" applyBorder="1" applyAlignment="1" applyProtection="1">
      <alignment horizontal="center" vertical="center"/>
    </xf>
    <xf numFmtId="2" fontId="34" fillId="0" borderId="0" xfId="0" applyNumberFormat="1" applyFont="1" applyFill="1" applyBorder="1" applyAlignment="1" applyProtection="1">
      <alignment horizontal="left"/>
    </xf>
    <xf numFmtId="2" fontId="27" fillId="2" borderId="10" xfId="0" applyNumberFormat="1" applyFont="1" applyFill="1" applyBorder="1" applyAlignment="1" applyProtection="1">
      <alignment horizontal="center"/>
    </xf>
    <xf numFmtId="2" fontId="27" fillId="2" borderId="12" xfId="0" applyNumberFormat="1" applyFont="1" applyFill="1" applyBorder="1" applyAlignment="1" applyProtection="1">
      <alignment horizontal="center"/>
    </xf>
    <xf numFmtId="2" fontId="27" fillId="2" borderId="11" xfId="0" applyNumberFormat="1" applyFont="1" applyFill="1" applyBorder="1" applyAlignment="1" applyProtection="1">
      <alignment horizontal="center"/>
    </xf>
    <xf numFmtId="0" fontId="96" fillId="3" borderId="0" xfId="0" applyFont="1" applyFill="1" applyAlignment="1">
      <alignment horizontal="left"/>
    </xf>
    <xf numFmtId="0" fontId="1" fillId="3" borderId="0" xfId="0" applyFont="1" applyFill="1" applyAlignment="1">
      <alignment horizontal="left" vertical="center"/>
    </xf>
    <xf numFmtId="0" fontId="131" fillId="3" borderId="0" xfId="0" applyFont="1" applyFill="1" applyAlignment="1">
      <alignment horizontal="left"/>
    </xf>
    <xf numFmtId="0" fontId="0" fillId="12" borderId="0" xfId="0" applyFill="1" applyAlignment="1">
      <alignment horizontal="left" vertical="center" wrapText="1"/>
    </xf>
    <xf numFmtId="0" fontId="26" fillId="7" borderId="5" xfId="0" applyFont="1" applyFill="1" applyBorder="1" applyAlignment="1">
      <alignment horizontal="left" vertical="center"/>
    </xf>
    <xf numFmtId="0" fontId="26" fillId="7" borderId="1" xfId="0" applyFont="1" applyFill="1" applyBorder="1" applyAlignment="1">
      <alignment horizontal="left" vertical="center"/>
    </xf>
    <xf numFmtId="0" fontId="26" fillId="7" borderId="2" xfId="0" applyFont="1" applyFill="1" applyBorder="1" applyAlignment="1">
      <alignment horizontal="left" vertical="center"/>
    </xf>
    <xf numFmtId="0" fontId="124" fillId="9" borderId="13" xfId="0" applyFont="1" applyFill="1" applyBorder="1" applyAlignment="1">
      <alignment horizontal="center" vertical="center" wrapText="1"/>
    </xf>
    <xf numFmtId="0" fontId="26" fillId="7" borderId="10" xfId="0" applyFont="1" applyFill="1" applyBorder="1" applyAlignment="1">
      <alignment horizontal="left" vertical="center"/>
    </xf>
    <xf numFmtId="0" fontId="26" fillId="7" borderId="12" xfId="0" applyFont="1" applyFill="1" applyBorder="1" applyAlignment="1">
      <alignment horizontal="left" vertical="center"/>
    </xf>
    <xf numFmtId="0" fontId="26" fillId="7" borderId="11" xfId="0" applyFont="1" applyFill="1" applyBorder="1" applyAlignment="1">
      <alignment horizontal="left" vertical="center"/>
    </xf>
    <xf numFmtId="0" fontId="26" fillId="7" borderId="4" xfId="0" applyFont="1" applyFill="1" applyBorder="1" applyAlignment="1">
      <alignment horizontal="left" vertical="center"/>
    </xf>
    <xf numFmtId="0" fontId="26" fillId="7" borderId="0" xfId="0" applyFont="1" applyFill="1" applyBorder="1" applyAlignment="1">
      <alignment horizontal="left" vertical="center"/>
    </xf>
    <xf numFmtId="0" fontId="26" fillId="7" borderId="3" xfId="0" applyFont="1" applyFill="1" applyBorder="1" applyAlignment="1">
      <alignment horizontal="left" vertical="center"/>
    </xf>
    <xf numFmtId="0" fontId="2" fillId="7" borderId="13" xfId="0" applyFont="1" applyFill="1" applyBorder="1" applyAlignment="1">
      <alignment horizontal="left" vertical="center"/>
    </xf>
    <xf numFmtId="0" fontId="2" fillId="7" borderId="13" xfId="0" applyFont="1" applyFill="1" applyBorder="1" applyAlignment="1">
      <alignment horizontal="left" vertical="center" wrapText="1"/>
    </xf>
    <xf numFmtId="0" fontId="126" fillId="7" borderId="7" xfId="0" applyFont="1" applyFill="1" applyBorder="1" applyAlignment="1">
      <alignment horizontal="left" vertical="center"/>
    </xf>
    <xf numFmtId="0" fontId="126" fillId="7" borderId="8" xfId="0" applyFont="1" applyFill="1" applyBorder="1" applyAlignment="1">
      <alignment horizontal="left" vertical="center"/>
    </xf>
    <xf numFmtId="0" fontId="126" fillId="7" borderId="9" xfId="0" applyFont="1" applyFill="1" applyBorder="1" applyAlignment="1">
      <alignment horizontal="left" vertical="center"/>
    </xf>
    <xf numFmtId="0" fontId="129" fillId="3" borderId="1" xfId="0" applyFont="1" applyFill="1" applyBorder="1" applyAlignment="1">
      <alignment horizontal="left" vertical="top"/>
    </xf>
    <xf numFmtId="0" fontId="127" fillId="3" borderId="0" xfId="0" applyFont="1" applyFill="1" applyAlignment="1">
      <alignment horizontal="left" vertical="center"/>
    </xf>
    <xf numFmtId="2" fontId="8" fillId="2" borderId="10" xfId="0" applyNumberFormat="1" applyFont="1" applyFill="1" applyBorder="1" applyAlignment="1" applyProtection="1">
      <alignment horizontal="left"/>
    </xf>
    <xf numFmtId="2" fontId="8" fillId="2" borderId="12" xfId="0" applyNumberFormat="1" applyFont="1" applyFill="1" applyBorder="1" applyAlignment="1" applyProtection="1">
      <alignment horizontal="left"/>
    </xf>
    <xf numFmtId="165" fontId="0" fillId="3" borderId="5" xfId="0" applyNumberFormat="1" applyFill="1" applyBorder="1" applyAlignment="1" applyProtection="1">
      <alignment horizontal="left"/>
      <protection hidden="1"/>
    </xf>
    <xf numFmtId="165" fontId="0" fillId="3" borderId="1" xfId="0" applyNumberFormat="1" applyFill="1" applyBorder="1" applyAlignment="1" applyProtection="1">
      <alignment horizontal="left"/>
      <protection hidden="1"/>
    </xf>
    <xf numFmtId="165" fontId="0" fillId="3" borderId="2" xfId="0" applyNumberFormat="1" applyFill="1" applyBorder="1" applyAlignment="1" applyProtection="1">
      <alignment horizontal="left"/>
      <protection hidden="1"/>
    </xf>
    <xf numFmtId="1" fontId="0" fillId="3" borderId="10" xfId="0" applyNumberFormat="1" applyFill="1" applyBorder="1" applyAlignment="1" applyProtection="1">
      <alignment horizontal="left"/>
      <protection hidden="1"/>
    </xf>
    <xf numFmtId="0" fontId="0" fillId="3" borderId="12" xfId="0" applyFill="1" applyBorder="1" applyAlignment="1" applyProtection="1">
      <alignment horizontal="left"/>
      <protection hidden="1"/>
    </xf>
    <xf numFmtId="0" fontId="0" fillId="3" borderId="11" xfId="0" applyFill="1" applyBorder="1" applyAlignment="1" applyProtection="1">
      <alignment horizontal="left"/>
      <protection hidden="1"/>
    </xf>
    <xf numFmtId="2" fontId="0" fillId="3" borderId="4" xfId="0" applyNumberFormat="1" applyFill="1" applyBorder="1" applyAlignment="1" applyProtection="1">
      <alignment horizontal="left"/>
      <protection hidden="1"/>
    </xf>
    <xf numFmtId="0" fontId="0" fillId="3" borderId="0" xfId="0" applyFill="1" applyBorder="1" applyAlignment="1" applyProtection="1">
      <alignment horizontal="left"/>
      <protection hidden="1"/>
    </xf>
    <xf numFmtId="0" fontId="0" fillId="3" borderId="3" xfId="0" applyFill="1" applyBorder="1" applyAlignment="1" applyProtection="1">
      <alignment horizontal="left"/>
      <protection hidden="1"/>
    </xf>
    <xf numFmtId="166" fontId="0" fillId="3" borderId="5" xfId="0" applyNumberFormat="1" applyFill="1" applyBorder="1" applyAlignment="1" applyProtection="1">
      <alignment horizontal="left"/>
      <protection hidden="1"/>
    </xf>
    <xf numFmtId="166" fontId="0" fillId="3" borderId="1" xfId="0" applyNumberFormat="1" applyFill="1" applyBorder="1" applyAlignment="1" applyProtection="1">
      <alignment horizontal="left"/>
      <protection hidden="1"/>
    </xf>
    <xf numFmtId="166" fontId="0" fillId="3" borderId="2" xfId="0" applyNumberFormat="1" applyFill="1" applyBorder="1" applyAlignment="1" applyProtection="1">
      <alignment horizontal="left"/>
      <protection hidden="1"/>
    </xf>
    <xf numFmtId="0" fontId="0" fillId="3" borderId="0" xfId="0" applyFill="1" applyAlignment="1" applyProtection="1">
      <alignment horizontal="center"/>
      <protection hidden="1"/>
    </xf>
    <xf numFmtId="2" fontId="102" fillId="3" borderId="66" xfId="0" applyNumberFormat="1" applyFont="1" applyFill="1" applyBorder="1" applyAlignment="1" applyProtection="1">
      <alignment horizontal="center"/>
    </xf>
    <xf numFmtId="2" fontId="102" fillId="3" borderId="67" xfId="0" applyNumberFormat="1" applyFont="1" applyFill="1" applyBorder="1" applyAlignment="1" applyProtection="1">
      <alignment horizontal="center"/>
    </xf>
    <xf numFmtId="2" fontId="107" fillId="3" borderId="55" xfId="0" applyNumberFormat="1" applyFont="1" applyFill="1" applyBorder="1" applyAlignment="1" applyProtection="1">
      <alignment horizontal="right"/>
    </xf>
    <xf numFmtId="2" fontId="107" fillId="3" borderId="64" xfId="0" applyNumberFormat="1" applyFont="1" applyFill="1" applyBorder="1" applyAlignment="1" applyProtection="1">
      <alignment horizontal="right" vertical="top"/>
    </xf>
    <xf numFmtId="2" fontId="107" fillId="3" borderId="50" xfId="0" applyNumberFormat="1" applyFont="1" applyFill="1" applyBorder="1" applyAlignment="1" applyProtection="1">
      <alignment horizontal="right" vertical="top"/>
    </xf>
    <xf numFmtId="0" fontId="0" fillId="3" borderId="4" xfId="0" applyFill="1" applyBorder="1" applyAlignment="1" applyProtection="1">
      <alignment horizontal="center"/>
      <protection hidden="1"/>
    </xf>
    <xf numFmtId="2" fontId="0" fillId="3" borderId="12" xfId="0" applyNumberFormat="1" applyFill="1" applyBorder="1" applyAlignment="1" applyProtection="1">
      <alignment horizontal="center"/>
      <protection hidden="1"/>
    </xf>
    <xf numFmtId="0" fontId="0" fillId="3" borderId="0"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1" fillId="3" borderId="0" xfId="0" applyFont="1" applyFill="1" applyAlignment="1" applyProtection="1">
      <alignment horizontal="center"/>
      <protection hidden="1"/>
    </xf>
    <xf numFmtId="2" fontId="0" fillId="3" borderId="0" xfId="0" applyNumberFormat="1" applyFill="1" applyAlignment="1" applyProtection="1">
      <alignment horizontal="left"/>
      <protection hidden="1"/>
    </xf>
    <xf numFmtId="0" fontId="0" fillId="3" borderId="0" xfId="0" applyFill="1" applyAlignment="1" applyProtection="1">
      <alignment horizontal="left"/>
      <protection hidden="1"/>
    </xf>
    <xf numFmtId="0" fontId="0" fillId="3" borderId="0" xfId="0" applyFill="1" applyAlignment="1" applyProtection="1">
      <alignment horizontal="center" vertical="center"/>
      <protection hidden="1"/>
    </xf>
    <xf numFmtId="2" fontId="61" fillId="3" borderId="5" xfId="0" applyNumberFormat="1" applyFont="1" applyFill="1" applyBorder="1" applyAlignment="1" applyProtection="1">
      <alignment horizontal="left" vertical="center"/>
    </xf>
    <xf numFmtId="2" fontId="61" fillId="3" borderId="1" xfId="0" applyNumberFormat="1" applyFont="1" applyFill="1" applyBorder="1" applyAlignment="1" applyProtection="1">
      <alignment horizontal="left" vertical="center"/>
    </xf>
    <xf numFmtId="0" fontId="9" fillId="3" borderId="13" xfId="0" applyFont="1" applyFill="1" applyBorder="1" applyAlignment="1" applyProtection="1">
      <alignment horizontal="center" vertical="top" wrapText="1"/>
      <protection hidden="1"/>
    </xf>
    <xf numFmtId="0" fontId="0" fillId="3" borderId="13" xfId="0" applyFill="1" applyBorder="1" applyAlignment="1" applyProtection="1">
      <alignment horizontal="center"/>
      <protection hidden="1"/>
    </xf>
    <xf numFmtId="0" fontId="8" fillId="3" borderId="0" xfId="0" applyFont="1" applyFill="1" applyAlignment="1" applyProtection="1">
      <alignment horizontal="center" wrapText="1"/>
      <protection hidden="1"/>
    </xf>
    <xf numFmtId="0" fontId="0" fillId="7" borderId="0" xfId="0" applyFill="1" applyAlignment="1">
      <alignment horizontal="left"/>
    </xf>
    <xf numFmtId="0" fontId="0" fillId="7" borderId="0" xfId="0" applyFont="1" applyFill="1" applyAlignment="1">
      <alignment horizontal="left"/>
    </xf>
    <xf numFmtId="0" fontId="0" fillId="7" borderId="0" xfId="0" applyFill="1" applyAlignment="1">
      <alignment horizontal="left" vertical="center"/>
    </xf>
    <xf numFmtId="0" fontId="0" fillId="7" borderId="0" xfId="0" applyFont="1" applyFill="1" applyAlignment="1">
      <alignment horizontal="left" vertical="center"/>
    </xf>
    <xf numFmtId="0" fontId="9" fillId="7" borderId="0" xfId="0" applyFont="1" applyFill="1" applyAlignment="1">
      <alignment horizontal="center"/>
    </xf>
    <xf numFmtId="0" fontId="8" fillId="3" borderId="0" xfId="0" applyFont="1" applyFill="1" applyAlignment="1">
      <alignment horizontal="center"/>
    </xf>
    <xf numFmtId="0" fontId="16" fillId="3" borderId="1" xfId="0" applyNumberFormat="1" applyFont="1" applyFill="1" applyBorder="1" applyAlignment="1" applyProtection="1">
      <alignment horizontal="left" vertical="top"/>
    </xf>
    <xf numFmtId="0" fontId="18" fillId="3" borderId="14" xfId="0" applyNumberFormat="1" applyFont="1" applyFill="1" applyBorder="1" applyAlignment="1" applyProtection="1">
      <alignment horizontal="center" vertical="top"/>
    </xf>
    <xf numFmtId="0" fontId="18" fillId="3" borderId="15" xfId="0" applyNumberFormat="1" applyFont="1" applyFill="1" applyBorder="1" applyAlignment="1" applyProtection="1">
      <alignment horizontal="center" vertical="top"/>
    </xf>
    <xf numFmtId="0" fontId="18" fillId="3" borderId="7" xfId="0" applyNumberFormat="1" applyFont="1" applyFill="1" applyBorder="1" applyAlignment="1" applyProtection="1">
      <alignment horizontal="center" vertical="top"/>
    </xf>
    <xf numFmtId="0" fontId="18" fillId="3" borderId="8" xfId="0" applyNumberFormat="1" applyFont="1" applyFill="1" applyBorder="1" applyAlignment="1" applyProtection="1">
      <alignment horizontal="center" vertical="top"/>
    </xf>
    <xf numFmtId="0" fontId="18" fillId="3" borderId="9" xfId="0" applyNumberFormat="1" applyFont="1" applyFill="1" applyBorder="1" applyAlignment="1" applyProtection="1">
      <alignment horizontal="center" vertical="top"/>
    </xf>
    <xf numFmtId="0" fontId="16" fillId="3" borderId="0" xfId="0" applyNumberFormat="1" applyFont="1" applyFill="1" applyBorder="1" applyAlignment="1" applyProtection="1">
      <alignment horizontal="left" vertical="top"/>
    </xf>
    <xf numFmtId="0" fontId="18" fillId="3" borderId="14" xfId="0" applyNumberFormat="1" applyFont="1" applyFill="1" applyBorder="1" applyAlignment="1" applyProtection="1">
      <alignment horizontal="left" vertical="top" indent="1"/>
    </xf>
    <xf numFmtId="0" fontId="18" fillId="3" borderId="15" xfId="0" applyNumberFormat="1" applyFont="1" applyFill="1" applyBorder="1" applyAlignment="1" applyProtection="1">
      <alignment horizontal="left" vertical="top" indent="1"/>
    </xf>
    <xf numFmtId="2" fontId="8" fillId="2" borderId="4" xfId="0" applyNumberFormat="1" applyFont="1" applyFill="1" applyBorder="1" applyAlignment="1" applyProtection="1">
      <alignment horizontal="right"/>
    </xf>
    <xf numFmtId="2" fontId="8" fillId="2" borderId="3" xfId="0" applyNumberFormat="1" applyFont="1" applyFill="1" applyBorder="1" applyAlignment="1" applyProtection="1">
      <alignment horizontal="right"/>
    </xf>
    <xf numFmtId="2" fontId="10" fillId="2" borderId="4" xfId="0" applyNumberFormat="1" applyFont="1" applyFill="1" applyBorder="1" applyAlignment="1" applyProtection="1">
      <alignment horizontal="right" vertical="top"/>
    </xf>
    <xf numFmtId="2" fontId="10" fillId="2" borderId="0" xfId="0" applyNumberFormat="1" applyFont="1" applyFill="1" applyBorder="1" applyAlignment="1" applyProtection="1">
      <alignment horizontal="right" vertical="top"/>
    </xf>
    <xf numFmtId="2" fontId="10" fillId="2" borderId="3" xfId="0" applyNumberFormat="1" applyFont="1" applyFill="1" applyBorder="1" applyAlignment="1" applyProtection="1">
      <alignment horizontal="right" vertical="top"/>
    </xf>
    <xf numFmtId="2" fontId="10" fillId="2" borderId="5" xfId="0" applyNumberFormat="1" applyFont="1" applyFill="1" applyBorder="1" applyAlignment="1" applyProtection="1">
      <alignment horizontal="right" vertical="top"/>
    </xf>
    <xf numFmtId="2" fontId="10" fillId="2" borderId="1" xfId="0" applyNumberFormat="1" applyFont="1" applyFill="1" applyBorder="1" applyAlignment="1" applyProtection="1">
      <alignment horizontal="right" vertical="top"/>
    </xf>
    <xf numFmtId="2" fontId="10" fillId="2" borderId="2" xfId="0" applyNumberFormat="1" applyFont="1" applyFill="1" applyBorder="1" applyAlignment="1" applyProtection="1">
      <alignment horizontal="right" vertical="top"/>
    </xf>
  </cellXfs>
  <cellStyles count="3">
    <cellStyle name="Κανονικό" xfId="0" builtinId="0"/>
    <cellStyle name="Κόμμα" xfId="2" builtinId="3"/>
    <cellStyle name="Υπερ-σύνδεση" xfId="1" builtinId="8"/>
  </cellStyles>
  <dxfs count="1">
    <dxf>
      <font>
        <color rgb="FFFF0000"/>
      </font>
    </dxf>
  </dxfs>
  <tableStyles count="0" defaultTableStyle="TableStyleMedium9" defaultPivotStyle="PivotStyleLight16"/>
  <colors>
    <mruColors>
      <color rgb="FFF2F6EA"/>
      <color rgb="FFF4F2EC"/>
      <color rgb="FFE7EDF5"/>
      <color rgb="FFF6F4F0"/>
      <color rgb="FFE9F0DC"/>
      <color rgb="FFF3F1E9"/>
      <color rgb="FFF8F7F2"/>
      <color rgb="FFD9E5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gzafeirakis.gr"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1187912</xdr:colOff>
      <xdr:row>14</xdr:row>
      <xdr:rowOff>93785</xdr:rowOff>
    </xdr:from>
    <xdr:to>
      <xdr:col>2</xdr:col>
      <xdr:colOff>7937</xdr:colOff>
      <xdr:row>15</xdr:row>
      <xdr:rowOff>90487</xdr:rowOff>
    </xdr:to>
    <xdr:grpSp>
      <xdr:nvGrpSpPr>
        <xdr:cNvPr id="34" name="33 - Ομάδα"/>
        <xdr:cNvGrpSpPr/>
      </xdr:nvGrpSpPr>
      <xdr:grpSpPr>
        <a:xfrm>
          <a:off x="1355552" y="2730305"/>
          <a:ext cx="145905" cy="179582"/>
          <a:chOff x="1370792" y="2875085"/>
          <a:chExt cx="145905" cy="179582"/>
        </a:xfrm>
      </xdr:grpSpPr>
      <xdr:cxnSp macro="">
        <xdr:nvCxnSpPr>
          <xdr:cNvPr id="20" name="19 - Ευθεία γραμμή σύνδεσης"/>
          <xdr:cNvCxnSpPr/>
        </xdr:nvCxnSpPr>
        <xdr:spPr>
          <a:xfrm flipH="1">
            <a:off x="1370792" y="2875085"/>
            <a:ext cx="145905" cy="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 name="23 - Ευθεία γραμμή σύνδεσης"/>
          <xdr:cNvCxnSpPr/>
        </xdr:nvCxnSpPr>
        <xdr:spPr>
          <a:xfrm>
            <a:off x="1374457" y="2876183"/>
            <a:ext cx="0" cy="178484"/>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 name="26 - Ευθύγραμμο βέλος σύνδεσης"/>
          <xdr:cNvCxnSpPr/>
        </xdr:nvCxnSpPr>
        <xdr:spPr>
          <a:xfrm flipV="1">
            <a:off x="1374457" y="3049537"/>
            <a:ext cx="104775" cy="5129"/>
          </a:xfrm>
          <a:prstGeom prst="straightConnector1">
            <a:avLst/>
          </a:prstGeom>
          <a:ln>
            <a:solidFill>
              <a:schemeClr val="accent2">
                <a:lumMod val="50000"/>
              </a:schemeClr>
            </a:solidFill>
            <a:headEnd type="none" w="med" len="med"/>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1195532</xdr:colOff>
      <xdr:row>43</xdr:row>
      <xdr:rowOff>93785</xdr:rowOff>
    </xdr:from>
    <xdr:to>
      <xdr:col>1</xdr:col>
      <xdr:colOff>1303972</xdr:colOff>
      <xdr:row>44</xdr:row>
      <xdr:rowOff>90487</xdr:rowOff>
    </xdr:to>
    <xdr:grpSp>
      <xdr:nvGrpSpPr>
        <xdr:cNvPr id="35" name="34 - Ομάδα"/>
        <xdr:cNvGrpSpPr/>
      </xdr:nvGrpSpPr>
      <xdr:grpSpPr>
        <a:xfrm>
          <a:off x="1363172" y="8094785"/>
          <a:ext cx="108440" cy="179582"/>
          <a:chOff x="1370792" y="2875085"/>
          <a:chExt cx="108440" cy="179582"/>
        </a:xfrm>
      </xdr:grpSpPr>
      <xdr:cxnSp macro="">
        <xdr:nvCxnSpPr>
          <xdr:cNvPr id="36" name="35 - Ευθεία γραμμή σύνδεσης"/>
          <xdr:cNvCxnSpPr/>
        </xdr:nvCxnSpPr>
        <xdr:spPr>
          <a:xfrm flipH="1">
            <a:off x="1370792" y="2875085"/>
            <a:ext cx="108000" cy="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 name="36 - Ευθεία γραμμή σύνδεσης"/>
          <xdr:cNvCxnSpPr/>
        </xdr:nvCxnSpPr>
        <xdr:spPr>
          <a:xfrm>
            <a:off x="1374457" y="2876183"/>
            <a:ext cx="0" cy="178484"/>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 name="37 - Ευθύγραμμο βέλος σύνδεσης"/>
          <xdr:cNvCxnSpPr/>
        </xdr:nvCxnSpPr>
        <xdr:spPr>
          <a:xfrm flipV="1">
            <a:off x="1374457" y="3049537"/>
            <a:ext cx="104775" cy="5129"/>
          </a:xfrm>
          <a:prstGeom prst="straightConnector1">
            <a:avLst/>
          </a:prstGeom>
          <a:ln>
            <a:solidFill>
              <a:schemeClr val="accent2">
                <a:lumMod val="50000"/>
              </a:schemeClr>
            </a:solidFill>
            <a:headEnd type="none" w="med" len="med"/>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20</xdr:col>
      <xdr:colOff>243840</xdr:colOff>
      <xdr:row>121</xdr:row>
      <xdr:rowOff>53340</xdr:rowOff>
    </xdr:from>
    <xdr:to>
      <xdr:col>20</xdr:col>
      <xdr:colOff>480060</xdr:colOff>
      <xdr:row>121</xdr:row>
      <xdr:rowOff>289560</xdr:rowOff>
    </xdr:to>
    <xdr:pic>
      <xdr:nvPicPr>
        <xdr:cNvPr id="17" name="16 - Εικόνα" descr="home1.png"/>
        <xdr:cNvPicPr>
          <a:picLocks noChangeAspect="1"/>
        </xdr:cNvPicPr>
      </xdr:nvPicPr>
      <xdr:blipFill>
        <a:blip xmlns:r="http://schemas.openxmlformats.org/officeDocument/2006/relationships" r:embed="rId1" cstate="print">
          <a:lum contrast="20000"/>
        </a:blip>
        <a:stretch>
          <a:fillRect/>
        </a:stretch>
      </xdr:blipFill>
      <xdr:spPr>
        <a:xfrm>
          <a:off x="9212580" y="19568160"/>
          <a:ext cx="236220" cy="236220"/>
        </a:xfrm>
        <a:prstGeom prst="rect">
          <a:avLst/>
        </a:prstGeom>
      </xdr:spPr>
    </xdr:pic>
    <xdr:clientData/>
  </xdr:twoCellAnchor>
  <xdr:twoCellAnchor editAs="oneCell">
    <xdr:from>
      <xdr:col>24</xdr:col>
      <xdr:colOff>426720</xdr:colOff>
      <xdr:row>115</xdr:row>
      <xdr:rowOff>144780</xdr:rowOff>
    </xdr:from>
    <xdr:to>
      <xdr:col>29</xdr:col>
      <xdr:colOff>114300</xdr:colOff>
      <xdr:row>120</xdr:row>
      <xdr:rowOff>175260</xdr:rowOff>
    </xdr:to>
    <xdr:pic>
      <xdr:nvPicPr>
        <xdr:cNvPr id="18" name="14 - Εικόνα" descr="KARTA.png">
          <a:hlinkClick xmlns:r="http://schemas.openxmlformats.org/officeDocument/2006/relationships" r:id="rId2"/>
        </xdr:cNvPr>
        <xdr:cNvPicPr/>
      </xdr:nvPicPr>
      <xdr:blipFill>
        <a:blip xmlns:r="http://schemas.openxmlformats.org/officeDocument/2006/relationships" r:embed="rId3" cstate="print">
          <a:clrChange>
            <a:clrFrom>
              <a:srgbClr val="FFFFFF"/>
            </a:clrFrom>
            <a:clrTo>
              <a:srgbClr val="FFFFFF">
                <a:alpha val="0"/>
              </a:srgbClr>
            </a:clrTo>
          </a:clrChange>
          <a:lum bright="-10000" contrast="20000"/>
        </a:blip>
        <a:srcRect l="4004" t="17717" r="2145"/>
        <a:stretch>
          <a:fillRect/>
        </a:stretch>
      </xdr:blipFill>
      <xdr:spPr>
        <a:xfrm>
          <a:off x="11643360" y="18288000"/>
          <a:ext cx="2065020" cy="1143000"/>
        </a:xfrm>
        <a:prstGeom prst="rect">
          <a:avLst/>
        </a:prstGeom>
      </xdr:spPr>
    </xdr:pic>
    <xdr:clientData/>
  </xdr:twoCellAnchor>
  <xdr:twoCellAnchor>
    <xdr:from>
      <xdr:col>1</xdr:col>
      <xdr:colOff>1021080</xdr:colOff>
      <xdr:row>118</xdr:row>
      <xdr:rowOff>53340</xdr:rowOff>
    </xdr:from>
    <xdr:to>
      <xdr:col>2</xdr:col>
      <xdr:colOff>106680</xdr:colOff>
      <xdr:row>119</xdr:row>
      <xdr:rowOff>175260</xdr:rowOff>
    </xdr:to>
    <xdr:sp macro="" textlink="">
      <xdr:nvSpPr>
        <xdr:cNvPr id="19" name="18 - Διάγραμμα ροής: Πολλαπλή εκτύπωση"/>
        <xdr:cNvSpPr/>
      </xdr:nvSpPr>
      <xdr:spPr>
        <a:xfrm>
          <a:off x="1188720" y="20147280"/>
          <a:ext cx="411480" cy="304800"/>
        </a:xfrm>
        <a:prstGeom prst="flowChartMultidocument">
          <a:avLst/>
        </a:prstGeom>
        <a:solidFill>
          <a:schemeClr val="bg2"/>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l-GR" sz="1100"/>
        </a:p>
      </xdr:txBody>
    </xdr:sp>
    <xdr:clientData/>
  </xdr:twoCellAnchor>
  <xdr:twoCellAnchor editAs="oneCell">
    <xdr:from>
      <xdr:col>20</xdr:col>
      <xdr:colOff>22860</xdr:colOff>
      <xdr:row>7</xdr:row>
      <xdr:rowOff>38100</xdr:rowOff>
    </xdr:from>
    <xdr:to>
      <xdr:col>29</xdr:col>
      <xdr:colOff>470583</xdr:colOff>
      <xdr:row>13</xdr:row>
      <xdr:rowOff>38100</xdr:rowOff>
    </xdr:to>
    <xdr:pic>
      <xdr:nvPicPr>
        <xdr:cNvPr id="30" name="29 - Εικόνα" descr="ΣΚΑΡΙΦΗΜΑΤΑ-Model.png"/>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lum bright="-10000"/>
        </a:blip>
        <a:srcRect l="3253" t="20623" r="2755" b="49449"/>
        <a:stretch>
          <a:fillRect/>
        </a:stretch>
      </xdr:blipFill>
      <xdr:spPr>
        <a:xfrm>
          <a:off x="8991600" y="1356360"/>
          <a:ext cx="5065443" cy="1127760"/>
        </a:xfrm>
        <a:prstGeom prst="rect">
          <a:avLst/>
        </a:prstGeom>
      </xdr:spPr>
    </xdr:pic>
    <xdr:clientData/>
  </xdr:twoCellAnchor>
  <xdr:twoCellAnchor editAs="oneCell">
    <xdr:from>
      <xdr:col>20</xdr:col>
      <xdr:colOff>7619</xdr:colOff>
      <xdr:row>36</xdr:row>
      <xdr:rowOff>60960</xdr:rowOff>
    </xdr:from>
    <xdr:to>
      <xdr:col>29</xdr:col>
      <xdr:colOff>472440</xdr:colOff>
      <xdr:row>42</xdr:row>
      <xdr:rowOff>49004</xdr:rowOff>
    </xdr:to>
    <xdr:pic>
      <xdr:nvPicPr>
        <xdr:cNvPr id="31" name="30 - Εικόνα" descr="ΣΚΑΡΙΦΗΜΑΤΑ-Model.png"/>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lum bright="-10000"/>
        </a:blip>
        <a:srcRect l="3781" t="66270" r="2580" b="3928"/>
        <a:stretch>
          <a:fillRect/>
        </a:stretch>
      </xdr:blipFill>
      <xdr:spPr>
        <a:xfrm>
          <a:off x="8976359" y="6720840"/>
          <a:ext cx="5082541" cy="1131044"/>
        </a:xfrm>
        <a:prstGeom prst="rect">
          <a:avLst/>
        </a:prstGeom>
      </xdr:spPr>
    </xdr:pic>
    <xdr:clientData/>
  </xdr:twoCellAnchor>
  <xdr:twoCellAnchor>
    <xdr:from>
      <xdr:col>16</xdr:col>
      <xdr:colOff>297180</xdr:colOff>
      <xdr:row>0</xdr:row>
      <xdr:rowOff>91440</xdr:rowOff>
    </xdr:from>
    <xdr:to>
      <xdr:col>19</xdr:col>
      <xdr:colOff>281940</xdr:colOff>
      <xdr:row>4</xdr:row>
      <xdr:rowOff>38100</xdr:rowOff>
    </xdr:to>
    <xdr:grpSp>
      <xdr:nvGrpSpPr>
        <xdr:cNvPr id="33" name="32 - Ομάδα"/>
        <xdr:cNvGrpSpPr/>
      </xdr:nvGrpSpPr>
      <xdr:grpSpPr>
        <a:xfrm>
          <a:off x="7566660" y="91440"/>
          <a:ext cx="1287780" cy="685800"/>
          <a:chOff x="7734300" y="83820"/>
          <a:chExt cx="1287780" cy="685800"/>
        </a:xfrm>
      </xdr:grpSpPr>
      <xdr:pic>
        <xdr:nvPicPr>
          <xdr:cNvPr id="25" name="24 - Εικόνα" descr="home1.png"/>
          <xdr:cNvPicPr>
            <a:picLocks noChangeAspect="1"/>
          </xdr:cNvPicPr>
        </xdr:nvPicPr>
        <xdr:blipFill>
          <a:blip xmlns:r="http://schemas.openxmlformats.org/officeDocument/2006/relationships" r:embed="rId1" cstate="print"/>
          <a:stretch>
            <a:fillRect/>
          </a:stretch>
        </xdr:blipFill>
        <xdr:spPr>
          <a:xfrm>
            <a:off x="7863841" y="152401"/>
            <a:ext cx="563879" cy="563879"/>
          </a:xfrm>
          <a:prstGeom prst="rect">
            <a:avLst/>
          </a:prstGeom>
        </xdr:spPr>
      </xdr:pic>
      <xdr:sp macro="" textlink="">
        <xdr:nvSpPr>
          <xdr:cNvPr id="29" name="28 - Ορθογώνιο"/>
          <xdr:cNvSpPr/>
        </xdr:nvSpPr>
        <xdr:spPr>
          <a:xfrm>
            <a:off x="8127225" y="392969"/>
            <a:ext cx="894855" cy="376651"/>
          </a:xfrm>
          <a:prstGeom prst="rect">
            <a:avLst/>
          </a:prstGeom>
          <a:noFill/>
        </xdr:spPr>
        <xdr:txBody>
          <a:bodyPr wrap="square" lIns="91440" tIns="45720" rIns="91440" bIns="45720">
            <a:noAutofit/>
            <a:scene3d>
              <a:camera prst="obliqueTopLeft"/>
              <a:lightRig rig="threePt" dir="t"/>
            </a:scene3d>
          </a:bodyPr>
          <a:lstStyle/>
          <a:p>
            <a:pPr algn="ctr"/>
            <a:r>
              <a:rPr lang="en-US" sz="2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eca</a:t>
            </a:r>
            <a:endParaRPr lang="el-GR" sz="2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sp macro="" textlink="">
        <xdr:nvSpPr>
          <xdr:cNvPr id="32" name="31 - Έλλειψη"/>
          <xdr:cNvSpPr/>
        </xdr:nvSpPr>
        <xdr:spPr>
          <a:xfrm>
            <a:off x="7734300" y="83820"/>
            <a:ext cx="144000" cy="144000"/>
          </a:xfrm>
          <a:prstGeom prst="ellipse">
            <a:avLst/>
          </a:prstGeom>
          <a:solidFill>
            <a:srgbClr val="FFC000"/>
          </a:solidFill>
          <a:effectLst/>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endParaRPr lang="el-G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233511</xdr:colOff>
      <xdr:row>1</xdr:row>
      <xdr:rowOff>60814</xdr:rowOff>
    </xdr:from>
    <xdr:to>
      <xdr:col>15</xdr:col>
      <xdr:colOff>43791</xdr:colOff>
      <xdr:row>1</xdr:row>
      <xdr:rowOff>165589</xdr:rowOff>
    </xdr:to>
    <xdr:grpSp>
      <xdr:nvGrpSpPr>
        <xdr:cNvPr id="6" name="5 - Ομάδα"/>
        <xdr:cNvGrpSpPr/>
      </xdr:nvGrpSpPr>
      <xdr:grpSpPr>
        <a:xfrm>
          <a:off x="5521791" y="297034"/>
          <a:ext cx="4428000" cy="104775"/>
          <a:chOff x="5323672" y="441814"/>
          <a:chExt cx="4392343" cy="104775"/>
        </a:xfrm>
      </xdr:grpSpPr>
      <xdr:cxnSp macro="">
        <xdr:nvCxnSpPr>
          <xdr:cNvPr id="8" name="7 - Ευθεία γραμμή σύνδεσης"/>
          <xdr:cNvCxnSpPr/>
        </xdr:nvCxnSpPr>
        <xdr:spPr>
          <a:xfrm rot="5400000">
            <a:off x="7520015" y="-1754186"/>
            <a:ext cx="0" cy="4392000"/>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9" name="8 - Ευθύγραμμο βέλος σύνδεσης"/>
          <xdr:cNvCxnSpPr/>
        </xdr:nvCxnSpPr>
        <xdr:spPr>
          <a:xfrm rot="5400000" flipV="1">
            <a:off x="5273849" y="491637"/>
            <a:ext cx="104775" cy="5129"/>
          </a:xfrm>
          <a:prstGeom prst="straightConnector1">
            <a:avLst/>
          </a:prstGeom>
          <a:ln>
            <a:solidFill>
              <a:schemeClr val="accent1"/>
            </a:solidFill>
            <a:headEnd type="none" w="med" len="med"/>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 name="4 - Ευθύγραμμο βέλος σύνδεσης"/>
          <xdr:cNvCxnSpPr/>
        </xdr:nvCxnSpPr>
        <xdr:spPr>
          <a:xfrm rot="5400000" flipV="1">
            <a:off x="5761529" y="491637"/>
            <a:ext cx="104775" cy="5129"/>
          </a:xfrm>
          <a:prstGeom prst="straightConnector1">
            <a:avLst/>
          </a:prstGeom>
          <a:ln>
            <a:solidFill>
              <a:schemeClr val="accent1"/>
            </a:solidFill>
            <a:headEnd type="none" w="med" len="med"/>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274320</xdr:colOff>
      <xdr:row>23</xdr:row>
      <xdr:rowOff>91440</xdr:rowOff>
    </xdr:from>
    <xdr:to>
      <xdr:col>17</xdr:col>
      <xdr:colOff>1562100</xdr:colOff>
      <xdr:row>27</xdr:row>
      <xdr:rowOff>45720</xdr:rowOff>
    </xdr:to>
    <xdr:grpSp>
      <xdr:nvGrpSpPr>
        <xdr:cNvPr id="17" name="16 - Ομάδα"/>
        <xdr:cNvGrpSpPr/>
      </xdr:nvGrpSpPr>
      <xdr:grpSpPr>
        <a:xfrm>
          <a:off x="12649200" y="4533900"/>
          <a:ext cx="1287780" cy="685800"/>
          <a:chOff x="7734300" y="83820"/>
          <a:chExt cx="1287780" cy="685800"/>
        </a:xfrm>
      </xdr:grpSpPr>
      <xdr:pic>
        <xdr:nvPicPr>
          <xdr:cNvPr id="18" name="17 - Εικόνα" descr="home1.png"/>
          <xdr:cNvPicPr>
            <a:picLocks noChangeAspect="1"/>
          </xdr:cNvPicPr>
        </xdr:nvPicPr>
        <xdr:blipFill>
          <a:blip xmlns:r="http://schemas.openxmlformats.org/officeDocument/2006/relationships" r:embed="rId1" cstate="print"/>
          <a:stretch>
            <a:fillRect/>
          </a:stretch>
        </xdr:blipFill>
        <xdr:spPr>
          <a:xfrm>
            <a:off x="7863841" y="152401"/>
            <a:ext cx="563879" cy="563879"/>
          </a:xfrm>
          <a:prstGeom prst="rect">
            <a:avLst/>
          </a:prstGeom>
        </xdr:spPr>
      </xdr:pic>
      <xdr:sp macro="" textlink="">
        <xdr:nvSpPr>
          <xdr:cNvPr id="19" name="18 - Ορθογώνιο"/>
          <xdr:cNvSpPr/>
        </xdr:nvSpPr>
        <xdr:spPr>
          <a:xfrm>
            <a:off x="8127225" y="392969"/>
            <a:ext cx="894855" cy="376651"/>
          </a:xfrm>
          <a:prstGeom prst="rect">
            <a:avLst/>
          </a:prstGeom>
          <a:noFill/>
        </xdr:spPr>
        <xdr:txBody>
          <a:bodyPr wrap="square" lIns="91440" tIns="45720" rIns="91440" bIns="45720">
            <a:noAutofit/>
            <a:scene3d>
              <a:camera prst="obliqueTopLeft"/>
              <a:lightRig rig="threePt" dir="t"/>
            </a:scene3d>
          </a:bodyPr>
          <a:lstStyle/>
          <a:p>
            <a:pPr algn="ctr"/>
            <a:r>
              <a:rPr lang="en-US" sz="2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eca</a:t>
            </a:r>
            <a:endParaRPr lang="el-GR" sz="2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sp macro="" textlink="">
        <xdr:nvSpPr>
          <xdr:cNvPr id="20" name="19 - Έλλειψη"/>
          <xdr:cNvSpPr/>
        </xdr:nvSpPr>
        <xdr:spPr>
          <a:xfrm>
            <a:off x="7734300" y="83820"/>
            <a:ext cx="144000" cy="144000"/>
          </a:xfrm>
          <a:prstGeom prst="ellipse">
            <a:avLst/>
          </a:prstGeom>
          <a:solidFill>
            <a:srgbClr val="FFC000"/>
          </a:solidFill>
          <a:effectLst/>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endParaRPr lang="el-GR"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1097279</xdr:colOff>
      <xdr:row>1</xdr:row>
      <xdr:rowOff>60960</xdr:rowOff>
    </xdr:from>
    <xdr:to>
      <xdr:col>15</xdr:col>
      <xdr:colOff>59399</xdr:colOff>
      <xdr:row>1</xdr:row>
      <xdr:rowOff>165735</xdr:rowOff>
    </xdr:to>
    <xdr:grpSp>
      <xdr:nvGrpSpPr>
        <xdr:cNvPr id="5" name="4 - Ομάδα"/>
        <xdr:cNvGrpSpPr/>
      </xdr:nvGrpSpPr>
      <xdr:grpSpPr>
        <a:xfrm>
          <a:off x="4419599" y="297180"/>
          <a:ext cx="4799040" cy="104775"/>
          <a:chOff x="4213860" y="251460"/>
          <a:chExt cx="4796203" cy="104775"/>
        </a:xfrm>
      </xdr:grpSpPr>
      <xdr:cxnSp macro="">
        <xdr:nvCxnSpPr>
          <xdr:cNvPr id="3" name="2 - Ευθεία γραμμή σύνδεσης"/>
          <xdr:cNvCxnSpPr/>
        </xdr:nvCxnSpPr>
        <xdr:spPr>
          <a:xfrm rot="5400000">
            <a:off x="6616063" y="-2142540"/>
            <a:ext cx="0" cy="4788000"/>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4" name="3 - Ευθύγραμμο βέλος σύνδεσης"/>
          <xdr:cNvCxnSpPr/>
        </xdr:nvCxnSpPr>
        <xdr:spPr>
          <a:xfrm rot="5400000" flipV="1">
            <a:off x="4164037" y="301283"/>
            <a:ext cx="104775" cy="5129"/>
          </a:xfrm>
          <a:prstGeom prst="straightConnector1">
            <a:avLst/>
          </a:prstGeom>
          <a:ln>
            <a:solidFill>
              <a:schemeClr val="accent1"/>
            </a:solidFill>
            <a:headEnd type="none" w="med" len="med"/>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220982</xdr:colOff>
      <xdr:row>20</xdr:row>
      <xdr:rowOff>38100</xdr:rowOff>
    </xdr:from>
    <xdr:to>
      <xdr:col>8</xdr:col>
      <xdr:colOff>220983</xdr:colOff>
      <xdr:row>21</xdr:row>
      <xdr:rowOff>160023</xdr:rowOff>
    </xdr:to>
    <xdr:cxnSp macro="">
      <xdr:nvCxnSpPr>
        <xdr:cNvPr id="8" name="7 - Ευθύγραμμο βέλος σύνδεσης"/>
        <xdr:cNvCxnSpPr/>
      </xdr:nvCxnSpPr>
      <xdr:spPr>
        <a:xfrm flipV="1">
          <a:off x="6035042" y="3345180"/>
          <a:ext cx="1" cy="304803"/>
        </a:xfrm>
        <a:prstGeom prst="straightConnector1">
          <a:avLst/>
        </a:prstGeom>
        <a:ln>
          <a:solidFill>
            <a:schemeClr val="bg2">
              <a:lumMod val="25000"/>
            </a:schemeClr>
          </a:solidFill>
          <a:headEnd type="none" w="med" len="med"/>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213360</xdr:colOff>
      <xdr:row>22</xdr:row>
      <xdr:rowOff>68580</xdr:rowOff>
    </xdr:from>
    <xdr:to>
      <xdr:col>19</xdr:col>
      <xdr:colOff>1501140</xdr:colOff>
      <xdr:row>25</xdr:row>
      <xdr:rowOff>22860</xdr:rowOff>
    </xdr:to>
    <xdr:grpSp>
      <xdr:nvGrpSpPr>
        <xdr:cNvPr id="6" name="5 - Ομάδα"/>
        <xdr:cNvGrpSpPr/>
      </xdr:nvGrpSpPr>
      <xdr:grpSpPr>
        <a:xfrm>
          <a:off x="12717780" y="4320540"/>
          <a:ext cx="1219200" cy="685800"/>
          <a:chOff x="7734300" y="83820"/>
          <a:chExt cx="1287780" cy="685800"/>
        </a:xfrm>
      </xdr:grpSpPr>
      <xdr:pic>
        <xdr:nvPicPr>
          <xdr:cNvPr id="7" name="6 - Εικόνα" descr="home1.png"/>
          <xdr:cNvPicPr>
            <a:picLocks noChangeAspect="1"/>
          </xdr:cNvPicPr>
        </xdr:nvPicPr>
        <xdr:blipFill>
          <a:blip xmlns:r="http://schemas.openxmlformats.org/officeDocument/2006/relationships" r:embed="rId1" cstate="print"/>
          <a:stretch>
            <a:fillRect/>
          </a:stretch>
        </xdr:blipFill>
        <xdr:spPr>
          <a:xfrm>
            <a:off x="7863841" y="152401"/>
            <a:ext cx="563879" cy="563879"/>
          </a:xfrm>
          <a:prstGeom prst="rect">
            <a:avLst/>
          </a:prstGeom>
        </xdr:spPr>
      </xdr:pic>
      <xdr:sp macro="" textlink="">
        <xdr:nvSpPr>
          <xdr:cNvPr id="9" name="8 - Ορθογώνιο"/>
          <xdr:cNvSpPr/>
        </xdr:nvSpPr>
        <xdr:spPr>
          <a:xfrm>
            <a:off x="8127225" y="392969"/>
            <a:ext cx="894855" cy="376651"/>
          </a:xfrm>
          <a:prstGeom prst="rect">
            <a:avLst/>
          </a:prstGeom>
          <a:noFill/>
        </xdr:spPr>
        <xdr:txBody>
          <a:bodyPr wrap="square" lIns="91440" tIns="45720" rIns="91440" bIns="45720">
            <a:noAutofit/>
            <a:scene3d>
              <a:camera prst="obliqueTopLeft"/>
              <a:lightRig rig="threePt" dir="t"/>
            </a:scene3d>
          </a:bodyPr>
          <a:lstStyle/>
          <a:p>
            <a:pPr algn="ctr"/>
            <a:r>
              <a:rPr lang="en-US" sz="2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eca</a:t>
            </a:r>
            <a:endParaRPr lang="el-GR" sz="2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sp macro="" textlink="">
        <xdr:nvSpPr>
          <xdr:cNvPr id="10" name="9 - Έλλειψη"/>
          <xdr:cNvSpPr/>
        </xdr:nvSpPr>
        <xdr:spPr>
          <a:xfrm>
            <a:off x="7734300" y="83820"/>
            <a:ext cx="144000" cy="144000"/>
          </a:xfrm>
          <a:prstGeom prst="ellipse">
            <a:avLst/>
          </a:prstGeom>
          <a:solidFill>
            <a:srgbClr val="FFC000"/>
          </a:solidFill>
          <a:effectLst/>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endParaRPr lang="el-GR"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137160</xdr:colOff>
      <xdr:row>137</xdr:row>
      <xdr:rowOff>7620</xdr:rowOff>
    </xdr:from>
    <xdr:to>
      <xdr:col>11</xdr:col>
      <xdr:colOff>441960</xdr:colOff>
      <xdr:row>139</xdr:row>
      <xdr:rowOff>0</xdr:rowOff>
    </xdr:to>
    <xdr:sp macro="" textlink="">
      <xdr:nvSpPr>
        <xdr:cNvPr id="2" name="1 - Δεξιό άγκιστρο"/>
        <xdr:cNvSpPr/>
      </xdr:nvSpPr>
      <xdr:spPr>
        <a:xfrm>
          <a:off x="6842760" y="24033480"/>
          <a:ext cx="304800" cy="3581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l-GR"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gzafeirakis.gr/energy-audit/&#965;&#960;&#959;&#955;&#959;&#947;&#953;&#963;&#964;&#953;&#954;&#972;-&#966;&#973;&#955;&#955;&#959;/" TargetMode="External"/><Relationship Id="rId7" Type="http://schemas.openxmlformats.org/officeDocument/2006/relationships/vmlDrawing" Target="../drawings/vmlDrawing1.vml"/><Relationship Id="rId2" Type="http://schemas.openxmlformats.org/officeDocument/2006/relationships/hyperlink" Target="http://www.gzafeirakis.gr/" TargetMode="External"/><Relationship Id="rId1" Type="http://schemas.openxmlformats.org/officeDocument/2006/relationships/hyperlink" Target="http://www.gzafeirakis.g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zafeirakis.gr/energy-audit/%cf%85%cf%80%ce%bf%ce%bb%ce%bf%ce%b3%ce%b9%cf%83%cf%84%ce%b9%ce%ba%cf%8c-%cf%86%cf%8d%ce%bb%ce%bb%ce%b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O147"/>
  <sheetViews>
    <sheetView tabSelected="1" defaultGridColor="0" colorId="24" zoomScaleNormal="100" workbookViewId="0">
      <selection activeCell="C3" sqref="C3:G3"/>
    </sheetView>
  </sheetViews>
  <sheetFormatPr defaultColWidth="8.88671875" defaultRowHeight="14.4"/>
  <cols>
    <col min="1" max="1" width="2.44140625" style="32" customWidth="1"/>
    <col min="2" max="2" width="19.33203125" style="32" customWidth="1"/>
    <col min="3" max="3" width="6.44140625" style="32" customWidth="1"/>
    <col min="4" max="4" width="5.44140625" style="32" customWidth="1"/>
    <col min="5" max="5" width="5.6640625" style="32" customWidth="1"/>
    <col min="6" max="6" width="6.33203125" style="32" customWidth="1"/>
    <col min="7" max="7" width="6.44140625" style="32" customWidth="1"/>
    <col min="8" max="8" width="6.33203125" style="32" customWidth="1"/>
    <col min="9" max="10" width="6" style="32" customWidth="1"/>
    <col min="11" max="11" width="5.88671875" style="32" customWidth="1"/>
    <col min="12" max="12" width="5.6640625" style="32" customWidth="1"/>
    <col min="13" max="13" width="5.33203125" style="32" customWidth="1"/>
    <col min="14" max="14" width="6" style="32" customWidth="1"/>
    <col min="15" max="19" width="6.33203125" style="32" customWidth="1"/>
    <col min="20" max="20" width="5.77734375" style="32" customWidth="1"/>
    <col min="21" max="22" width="8.88671875" style="32"/>
    <col min="23" max="23" width="7.33203125" style="32" customWidth="1"/>
    <col min="24" max="24" width="7.5546875" style="32" customWidth="1"/>
    <col min="25" max="26" width="6.33203125" style="32" customWidth="1"/>
    <col min="27" max="30" width="7.33203125" style="32" customWidth="1"/>
    <col min="31" max="39" width="8.88671875" style="115"/>
    <col min="40" max="40" width="8.88671875" style="32"/>
    <col min="41" max="47" width="8.88671875" style="32" hidden="1" customWidth="1"/>
    <col min="48" max="48" width="9.21875" style="32" hidden="1" customWidth="1"/>
    <col min="49" max="80" width="8.88671875" style="32"/>
    <col min="81" max="118" width="8.88671875" style="32" hidden="1" customWidth="1"/>
    <col min="119" max="119" width="21.77734375" style="32" hidden="1" customWidth="1"/>
    <col min="120" max="16384" width="8.88671875" style="32"/>
  </cols>
  <sheetData>
    <row r="1" spans="1:119" ht="15" customHeight="1" thickBot="1">
      <c r="A1" s="700" t="s">
        <v>284</v>
      </c>
      <c r="B1" s="700"/>
      <c r="C1" s="700"/>
      <c r="D1" s="700"/>
      <c r="E1" s="700"/>
      <c r="F1" s="700"/>
      <c r="G1" s="700"/>
      <c r="H1" s="700"/>
      <c r="I1" s="700"/>
      <c r="J1" s="700"/>
      <c r="K1" s="700"/>
      <c r="L1" s="30"/>
      <c r="M1" s="30"/>
      <c r="N1" s="30"/>
      <c r="O1" s="30"/>
      <c r="P1" s="30"/>
      <c r="Q1" s="31"/>
      <c r="R1" s="31"/>
      <c r="S1" s="31"/>
      <c r="T1" s="31"/>
      <c r="U1" s="729" t="s">
        <v>846</v>
      </c>
      <c r="V1" s="730"/>
      <c r="W1" s="730"/>
      <c r="X1" s="730"/>
      <c r="Y1" s="730"/>
      <c r="Z1" s="730"/>
      <c r="AA1" s="730"/>
      <c r="AB1" s="730"/>
      <c r="AC1" s="730"/>
      <c r="AD1" s="731"/>
      <c r="AE1" s="192"/>
      <c r="AF1" s="188"/>
      <c r="AG1" s="188"/>
      <c r="AH1" s="188"/>
      <c r="AI1" s="188"/>
      <c r="AJ1" s="188"/>
      <c r="AK1" s="188"/>
      <c r="AL1" s="188"/>
      <c r="AM1" s="188"/>
      <c r="AN1" s="193"/>
      <c r="AO1" s="193"/>
      <c r="AP1" s="193"/>
      <c r="AQ1" s="194" t="s">
        <v>153</v>
      </c>
      <c r="AR1" s="193"/>
      <c r="AS1" s="193"/>
      <c r="AT1" s="193"/>
      <c r="AU1" s="193"/>
      <c r="AV1" s="193" t="s">
        <v>283</v>
      </c>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1"/>
      <c r="BU1" s="191"/>
      <c r="BV1" s="191"/>
      <c r="BW1" s="191"/>
      <c r="BX1" s="191"/>
      <c r="BY1" s="191"/>
      <c r="BZ1" s="191"/>
      <c r="CA1" s="191"/>
      <c r="CC1" s="224" t="s">
        <v>455</v>
      </c>
      <c r="CH1" s="224" t="s">
        <v>456</v>
      </c>
      <c r="CM1" s="224" t="s">
        <v>456</v>
      </c>
      <c r="CR1" s="224" t="s">
        <v>466</v>
      </c>
      <c r="DA1" s="225" t="s">
        <v>451</v>
      </c>
      <c r="DF1" s="225" t="s">
        <v>511</v>
      </c>
      <c r="DI1" s="225" t="s">
        <v>512</v>
      </c>
    </row>
    <row r="2" spans="1:119" ht="14.4" customHeight="1">
      <c r="A2" s="701" t="s">
        <v>820</v>
      </c>
      <c r="B2" s="701"/>
      <c r="C2" s="701"/>
      <c r="D2" s="701"/>
      <c r="E2" s="701"/>
      <c r="F2" s="701"/>
      <c r="G2" s="701"/>
      <c r="H2" s="701"/>
      <c r="I2" s="701"/>
      <c r="J2" s="701"/>
      <c r="K2" s="701"/>
      <c r="L2" s="33"/>
      <c r="M2" s="30"/>
      <c r="N2" s="913" t="s">
        <v>605</v>
      </c>
      <c r="O2" s="913"/>
      <c r="P2" s="282" t="s">
        <v>603</v>
      </c>
      <c r="S2" s="34"/>
      <c r="U2" s="729"/>
      <c r="V2" s="730"/>
      <c r="W2" s="730"/>
      <c r="X2" s="730"/>
      <c r="Y2" s="730"/>
      <c r="Z2" s="730"/>
      <c r="AA2" s="730"/>
      <c r="AB2" s="730"/>
      <c r="AC2" s="730"/>
      <c r="AD2" s="731"/>
      <c r="AE2" s="192"/>
      <c r="AF2" s="188"/>
      <c r="AG2" s="188"/>
      <c r="AH2" s="188"/>
      <c r="AI2" s="188"/>
      <c r="AJ2" s="188"/>
      <c r="AK2" s="188"/>
      <c r="AL2" s="188"/>
      <c r="AM2" s="188"/>
      <c r="AN2" s="193"/>
      <c r="AO2" s="195" t="s">
        <v>140</v>
      </c>
      <c r="AP2" s="195" t="s">
        <v>139</v>
      </c>
      <c r="AQ2" s="193" t="s">
        <v>151</v>
      </c>
      <c r="AR2" s="193"/>
      <c r="AS2" s="193"/>
      <c r="AT2" s="193"/>
      <c r="AU2" s="193"/>
      <c r="AV2" s="193" t="s">
        <v>240</v>
      </c>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1"/>
      <c r="BU2" s="191"/>
      <c r="BV2" s="191"/>
      <c r="BW2" s="191"/>
      <c r="BX2" s="191"/>
      <c r="BY2" s="191"/>
      <c r="BZ2" s="191"/>
      <c r="CA2" s="191"/>
      <c r="CC2" s="224" t="s">
        <v>427</v>
      </c>
      <c r="CH2" s="224" t="s">
        <v>436</v>
      </c>
      <c r="CM2" s="224" t="s">
        <v>445</v>
      </c>
      <c r="CR2" s="224" t="s">
        <v>462</v>
      </c>
      <c r="DA2" s="224" t="s">
        <v>448</v>
      </c>
      <c r="DF2" s="224" t="s">
        <v>491</v>
      </c>
      <c r="DI2" s="224" t="s">
        <v>513</v>
      </c>
    </row>
    <row r="3" spans="1:119" ht="14.4" customHeight="1">
      <c r="A3" s="771" t="s">
        <v>342</v>
      </c>
      <c r="B3" s="154" t="s">
        <v>0</v>
      </c>
      <c r="C3" s="756" t="s">
        <v>339</v>
      </c>
      <c r="D3" s="757"/>
      <c r="E3" s="757"/>
      <c r="F3" s="757"/>
      <c r="G3" s="757"/>
      <c r="H3" s="764" t="s">
        <v>604</v>
      </c>
      <c r="I3" s="765"/>
      <c r="J3" s="765"/>
      <c r="K3" s="766"/>
      <c r="L3" s="768" t="s">
        <v>609</v>
      </c>
      <c r="M3" s="767"/>
      <c r="N3" s="916"/>
      <c r="O3" s="916"/>
      <c r="P3" s="914" t="s">
        <v>236</v>
      </c>
      <c r="Q3" s="34"/>
      <c r="U3" s="729"/>
      <c r="V3" s="730"/>
      <c r="W3" s="730"/>
      <c r="X3" s="730"/>
      <c r="Y3" s="730"/>
      <c r="Z3" s="730"/>
      <c r="AA3" s="730"/>
      <c r="AB3" s="730"/>
      <c r="AC3" s="730"/>
      <c r="AD3" s="731"/>
      <c r="AE3" s="192"/>
      <c r="AF3" s="188"/>
      <c r="AG3" s="188"/>
      <c r="AH3" s="188"/>
      <c r="AI3" s="188"/>
      <c r="AJ3" s="188"/>
      <c r="AK3" s="188"/>
      <c r="AL3" s="188"/>
      <c r="AM3" s="188"/>
      <c r="AN3" s="193"/>
      <c r="AO3" s="196" t="s">
        <v>135</v>
      </c>
      <c r="AP3" s="196" t="s">
        <v>141</v>
      </c>
      <c r="AQ3" s="193" t="s">
        <v>152</v>
      </c>
      <c r="AR3" s="193" t="s">
        <v>158</v>
      </c>
      <c r="AS3" s="193"/>
      <c r="AT3" s="193"/>
      <c r="AU3" s="193"/>
      <c r="AV3" s="193" t="s">
        <v>241</v>
      </c>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1"/>
      <c r="BU3" s="191"/>
      <c r="BV3" s="191"/>
      <c r="BW3" s="191"/>
      <c r="BX3" s="191"/>
      <c r="BY3" s="191"/>
      <c r="BZ3" s="191"/>
      <c r="CA3" s="191"/>
      <c r="CC3" s="224" t="s">
        <v>428</v>
      </c>
      <c r="CH3" s="224" t="s">
        <v>437</v>
      </c>
      <c r="CM3" s="224" t="s">
        <v>446</v>
      </c>
      <c r="CR3" s="224" t="s">
        <v>463</v>
      </c>
      <c r="DA3" s="224" t="s">
        <v>433</v>
      </c>
      <c r="DF3" s="224" t="s">
        <v>492</v>
      </c>
      <c r="DI3" s="230" t="s">
        <v>501</v>
      </c>
    </row>
    <row r="4" spans="1:119" ht="14.4" customHeight="1">
      <c r="A4" s="772"/>
      <c r="B4" s="155" t="s">
        <v>1</v>
      </c>
      <c r="C4" s="774" t="s">
        <v>358</v>
      </c>
      <c r="D4" s="775"/>
      <c r="E4" s="775"/>
      <c r="F4" s="775"/>
      <c r="G4" s="775"/>
      <c r="H4" s="989" t="s">
        <v>339</v>
      </c>
      <c r="I4" s="724"/>
      <c r="J4" s="724"/>
      <c r="K4" s="990"/>
      <c r="L4" s="768" t="s">
        <v>608</v>
      </c>
      <c r="M4" s="767"/>
      <c r="N4" s="742"/>
      <c r="O4" s="742"/>
      <c r="P4" s="915"/>
      <c r="Q4" s="34"/>
      <c r="U4" s="729"/>
      <c r="V4" s="730"/>
      <c r="W4" s="730"/>
      <c r="X4" s="730"/>
      <c r="Y4" s="730"/>
      <c r="Z4" s="730"/>
      <c r="AA4" s="730"/>
      <c r="AB4" s="730"/>
      <c r="AC4" s="730"/>
      <c r="AD4" s="731"/>
      <c r="AE4" s="192"/>
      <c r="AF4" s="188"/>
      <c r="AG4" s="188"/>
      <c r="AH4" s="188"/>
      <c r="AI4" s="188"/>
      <c r="AJ4" s="188"/>
      <c r="AK4" s="188"/>
      <c r="AL4" s="188"/>
      <c r="AM4" s="188"/>
      <c r="AN4" s="193"/>
      <c r="AO4" s="196" t="s">
        <v>136</v>
      </c>
      <c r="AP4" s="196" t="s">
        <v>142</v>
      </c>
      <c r="AQ4" s="193"/>
      <c r="AR4" s="193" t="s">
        <v>159</v>
      </c>
      <c r="AS4" s="193"/>
      <c r="AT4" s="193"/>
      <c r="AU4" s="193"/>
      <c r="AV4" s="193" t="s">
        <v>242</v>
      </c>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1"/>
      <c r="BU4" s="191"/>
      <c r="BV4" s="191"/>
      <c r="BW4" s="191"/>
      <c r="BX4" s="191"/>
      <c r="BY4" s="191"/>
      <c r="BZ4" s="191"/>
      <c r="CA4" s="191"/>
      <c r="CC4" s="224" t="s">
        <v>432</v>
      </c>
      <c r="CH4" s="224" t="s">
        <v>438</v>
      </c>
      <c r="CM4" s="224" t="s">
        <v>447</v>
      </c>
      <c r="CR4" s="224" t="s">
        <v>464</v>
      </c>
      <c r="DA4" s="224" t="s">
        <v>434</v>
      </c>
      <c r="DF4" s="224" t="s">
        <v>493</v>
      </c>
      <c r="DI4" s="224" t="s">
        <v>500</v>
      </c>
    </row>
    <row r="5" spans="1:119" ht="15.6">
      <c r="A5" s="772"/>
      <c r="B5" s="155" t="s">
        <v>2</v>
      </c>
      <c r="C5" s="774" t="s">
        <v>340</v>
      </c>
      <c r="D5" s="775"/>
      <c r="E5" s="775"/>
      <c r="F5" s="775"/>
      <c r="G5" s="775"/>
      <c r="H5" s="991" t="s">
        <v>858</v>
      </c>
      <c r="I5" s="992"/>
      <c r="J5" s="992"/>
      <c r="K5" s="993"/>
      <c r="L5" s="768" t="s">
        <v>237</v>
      </c>
      <c r="M5" s="767"/>
      <c r="N5" s="742"/>
      <c r="O5" s="742"/>
      <c r="P5" s="742"/>
      <c r="Q5" s="732" t="s">
        <v>661</v>
      </c>
      <c r="R5" s="732"/>
      <c r="S5" s="732"/>
      <c r="T5" s="733"/>
      <c r="U5" s="729"/>
      <c r="V5" s="730"/>
      <c r="W5" s="730"/>
      <c r="X5" s="730"/>
      <c r="Y5" s="730"/>
      <c r="Z5" s="730"/>
      <c r="AA5" s="730"/>
      <c r="AB5" s="730"/>
      <c r="AC5" s="730"/>
      <c r="AD5" s="731"/>
      <c r="AE5" s="192"/>
      <c r="AF5" s="188"/>
      <c r="AG5" s="188"/>
      <c r="AH5" s="188"/>
      <c r="AI5" s="188"/>
      <c r="AJ5" s="188"/>
      <c r="AK5" s="188"/>
      <c r="AL5" s="188"/>
      <c r="AM5" s="188"/>
      <c r="AN5" s="193"/>
      <c r="AO5" s="196" t="s">
        <v>137</v>
      </c>
      <c r="AP5" s="196" t="s">
        <v>143</v>
      </c>
      <c r="AQ5" s="193"/>
      <c r="AR5" s="193"/>
      <c r="AS5" s="193"/>
      <c r="AT5" s="193"/>
      <c r="AU5" s="193"/>
      <c r="AV5" s="193" t="s">
        <v>243</v>
      </c>
      <c r="AW5" s="193"/>
      <c r="AX5" s="193"/>
      <c r="AY5" s="193"/>
      <c r="AZ5" s="193"/>
      <c r="BA5" s="197"/>
      <c r="BB5" s="198"/>
      <c r="BC5" s="198"/>
      <c r="BD5" s="198"/>
      <c r="BE5" s="198"/>
      <c r="BF5" s="193"/>
      <c r="BG5" s="193"/>
      <c r="BH5" s="193"/>
      <c r="BI5" s="193"/>
      <c r="BJ5" s="193"/>
      <c r="BK5" s="193"/>
      <c r="BL5" s="193"/>
      <c r="BM5" s="193"/>
      <c r="BN5" s="193"/>
      <c r="BO5" s="193"/>
      <c r="BP5" s="193"/>
      <c r="BQ5" s="193"/>
      <c r="BR5" s="193"/>
      <c r="BS5" s="193"/>
      <c r="BT5" s="191"/>
      <c r="BU5" s="191"/>
      <c r="BV5" s="191"/>
      <c r="BW5" s="191"/>
      <c r="BX5" s="191"/>
      <c r="BY5" s="191"/>
      <c r="BZ5" s="191"/>
      <c r="CA5" s="191"/>
      <c r="CC5" s="224" t="s">
        <v>429</v>
      </c>
      <c r="CH5" s="224" t="s">
        <v>439</v>
      </c>
      <c r="CR5" s="224" t="s">
        <v>465</v>
      </c>
      <c r="DA5" s="224" t="s">
        <v>290</v>
      </c>
      <c r="DF5" s="224" t="s">
        <v>486</v>
      </c>
      <c r="DI5" s="224" t="s">
        <v>502</v>
      </c>
    </row>
    <row r="6" spans="1:119" ht="15" thickBot="1">
      <c r="A6" s="773"/>
      <c r="B6" s="156" t="s">
        <v>3</v>
      </c>
      <c r="C6" s="776" t="s">
        <v>341</v>
      </c>
      <c r="D6" s="777"/>
      <c r="E6" s="777"/>
      <c r="F6" s="777"/>
      <c r="G6" s="777"/>
      <c r="H6" s="994" t="s">
        <v>859</v>
      </c>
      <c r="I6" s="995"/>
      <c r="J6" s="995"/>
      <c r="K6" s="996"/>
      <c r="L6" s="768" t="s">
        <v>238</v>
      </c>
      <c r="M6" s="767"/>
      <c r="N6" s="742"/>
      <c r="O6" s="742"/>
      <c r="P6" s="742"/>
      <c r="Q6" s="734" t="s">
        <v>662</v>
      </c>
      <c r="R6" s="735"/>
      <c r="S6" s="735"/>
      <c r="T6" s="735"/>
      <c r="U6" s="729"/>
      <c r="V6" s="730"/>
      <c r="W6" s="730"/>
      <c r="X6" s="730"/>
      <c r="Y6" s="730"/>
      <c r="Z6" s="730"/>
      <c r="AA6" s="730"/>
      <c r="AB6" s="730"/>
      <c r="AC6" s="730"/>
      <c r="AD6" s="731"/>
      <c r="AE6" s="192"/>
      <c r="AF6" s="188"/>
      <c r="AG6" s="188"/>
      <c r="AH6" s="188"/>
      <c r="AI6" s="188"/>
      <c r="AJ6" s="188"/>
      <c r="AK6" s="188"/>
      <c r="AL6" s="188"/>
      <c r="AM6" s="188"/>
      <c r="AN6" s="193"/>
      <c r="AO6" s="199" t="s">
        <v>138</v>
      </c>
      <c r="AP6" s="196" t="s">
        <v>144</v>
      </c>
      <c r="AQ6" s="193"/>
      <c r="AR6" s="193" t="s">
        <v>162</v>
      </c>
      <c r="AS6" s="193"/>
      <c r="AT6" s="193"/>
      <c r="AU6" s="193"/>
      <c r="AV6" s="193" t="s">
        <v>244</v>
      </c>
      <c r="AW6" s="193"/>
      <c r="AX6" s="193"/>
      <c r="AY6" s="193"/>
      <c r="AZ6" s="193"/>
      <c r="BA6" s="198"/>
      <c r="BB6" s="198"/>
      <c r="BC6" s="198"/>
      <c r="BD6" s="198"/>
      <c r="BE6" s="198"/>
      <c r="BF6" s="193"/>
      <c r="BG6" s="193"/>
      <c r="BH6" s="193"/>
      <c r="BI6" s="193"/>
      <c r="BJ6" s="193"/>
      <c r="BK6" s="193"/>
      <c r="BL6" s="193"/>
      <c r="BM6" s="193"/>
      <c r="BN6" s="193"/>
      <c r="BO6" s="193"/>
      <c r="BP6" s="193"/>
      <c r="BQ6" s="193"/>
      <c r="BR6" s="193"/>
      <c r="BS6" s="193"/>
      <c r="BT6" s="191"/>
      <c r="BU6" s="191"/>
      <c r="BV6" s="191"/>
      <c r="BW6" s="191"/>
      <c r="BX6" s="191"/>
      <c r="BY6" s="191"/>
      <c r="BZ6" s="191"/>
      <c r="CA6" s="191"/>
      <c r="CC6" s="224" t="s">
        <v>430</v>
      </c>
      <c r="CH6" s="224" t="s">
        <v>440</v>
      </c>
      <c r="CM6" s="225" t="s">
        <v>454</v>
      </c>
      <c r="CP6" s="32" t="s">
        <v>471</v>
      </c>
      <c r="DA6" s="224" t="s">
        <v>435</v>
      </c>
      <c r="DF6" s="224" t="s">
        <v>494</v>
      </c>
      <c r="DI6" s="224" t="s">
        <v>503</v>
      </c>
    </row>
    <row r="7" spans="1:119" ht="15" thickBot="1">
      <c r="K7" s="34"/>
      <c r="L7" s="681" t="s">
        <v>239</v>
      </c>
      <c r="M7" s="767"/>
      <c r="N7" s="742"/>
      <c r="O7" s="742"/>
      <c r="P7" s="742"/>
      <c r="Q7" s="736" t="s">
        <v>672</v>
      </c>
      <c r="R7" s="737"/>
      <c r="S7" s="737"/>
      <c r="T7" s="737"/>
      <c r="U7" s="729"/>
      <c r="V7" s="730"/>
      <c r="W7" s="730"/>
      <c r="X7" s="730"/>
      <c r="Y7" s="730"/>
      <c r="Z7" s="730"/>
      <c r="AA7" s="730"/>
      <c r="AB7" s="730"/>
      <c r="AC7" s="730"/>
      <c r="AD7" s="731"/>
      <c r="AE7" s="192"/>
      <c r="AF7" s="188"/>
      <c r="AG7" s="188"/>
      <c r="AH7" s="188"/>
      <c r="AI7" s="188"/>
      <c r="AJ7" s="188"/>
      <c r="AK7" s="188"/>
      <c r="AL7" s="188"/>
      <c r="AM7" s="188"/>
      <c r="AN7" s="193"/>
      <c r="AO7" s="193"/>
      <c r="AP7" s="199" t="s">
        <v>145</v>
      </c>
      <c r="AQ7" s="193"/>
      <c r="AR7" s="193" t="s">
        <v>163</v>
      </c>
      <c r="AS7" s="193"/>
      <c r="AT7" s="193"/>
      <c r="AU7" s="193"/>
      <c r="AV7" s="193" t="s">
        <v>245</v>
      </c>
      <c r="AW7" s="193"/>
      <c r="AX7" s="193"/>
      <c r="AY7" s="193"/>
      <c r="AZ7" s="193"/>
      <c r="BA7" s="200"/>
      <c r="BB7" s="198"/>
      <c r="BC7" s="198"/>
      <c r="BD7" s="198"/>
      <c r="BE7" s="200"/>
      <c r="BF7" s="193"/>
      <c r="BG7" s="193"/>
      <c r="BH7" s="193"/>
      <c r="BI7" s="193"/>
      <c r="BJ7" s="193"/>
      <c r="BK7" s="193"/>
      <c r="BL7" s="193"/>
      <c r="BM7" s="193"/>
      <c r="BN7" s="193"/>
      <c r="BO7" s="193"/>
      <c r="BP7" s="193"/>
      <c r="BQ7" s="193"/>
      <c r="BR7" s="193"/>
      <c r="BS7" s="193"/>
      <c r="BT7" s="191"/>
      <c r="BU7" s="191"/>
      <c r="BV7" s="191"/>
      <c r="BW7" s="191"/>
      <c r="BX7" s="191"/>
      <c r="BY7" s="191"/>
      <c r="BZ7" s="191"/>
      <c r="CA7" s="191"/>
      <c r="CC7" s="224" t="s">
        <v>431</v>
      </c>
      <c r="CH7" s="224" t="s">
        <v>441</v>
      </c>
      <c r="CM7" s="224" t="s">
        <v>458</v>
      </c>
      <c r="CP7" s="32" t="s">
        <v>472</v>
      </c>
      <c r="CR7" s="224" t="s">
        <v>468</v>
      </c>
      <c r="DA7" s="224" t="s">
        <v>444</v>
      </c>
      <c r="DI7" s="224" t="s">
        <v>504</v>
      </c>
    </row>
    <row r="8" spans="1:119">
      <c r="A8" s="680" t="s">
        <v>129</v>
      </c>
      <c r="B8" s="680"/>
      <c r="C8" s="680" t="s">
        <v>619</v>
      </c>
      <c r="D8" s="680"/>
      <c r="E8" s="680"/>
      <c r="F8" s="682" t="s">
        <v>283</v>
      </c>
      <c r="G8" s="682"/>
      <c r="H8" s="682"/>
      <c r="I8" s="682"/>
      <c r="J8" s="682"/>
      <c r="K8" s="682"/>
      <c r="L8" s="770" t="s">
        <v>620</v>
      </c>
      <c r="M8" s="770"/>
      <c r="N8" s="744" t="s">
        <v>659</v>
      </c>
      <c r="O8" s="744"/>
      <c r="P8" s="744"/>
      <c r="Q8" s="738"/>
      <c r="R8" s="738"/>
      <c r="S8" s="738"/>
      <c r="T8" s="738"/>
      <c r="U8" s="261"/>
      <c r="V8" s="728"/>
      <c r="W8" s="728"/>
      <c r="X8" s="728"/>
      <c r="Y8" s="728"/>
      <c r="Z8" s="728"/>
      <c r="AA8" s="728"/>
      <c r="AB8" s="728"/>
      <c r="AC8" s="728"/>
      <c r="AD8" s="35"/>
      <c r="AE8" s="192"/>
      <c r="AF8" s="188"/>
      <c r="AG8" s="188"/>
      <c r="AH8" s="188"/>
      <c r="AI8" s="188"/>
      <c r="AJ8" s="188"/>
      <c r="AK8" s="188"/>
      <c r="AL8" s="188"/>
      <c r="AM8" s="188"/>
      <c r="AN8" s="193"/>
      <c r="AO8" s="193"/>
      <c r="AP8" s="193"/>
      <c r="AQ8" s="193"/>
      <c r="AR8" s="193" t="s">
        <v>164</v>
      </c>
      <c r="AS8" s="193"/>
      <c r="AT8" s="193"/>
      <c r="AU8" s="193"/>
      <c r="AV8" s="193" t="s">
        <v>246</v>
      </c>
      <c r="AW8" s="193"/>
      <c r="AX8" s="193"/>
      <c r="AY8" s="193"/>
      <c r="AZ8" s="193"/>
      <c r="BA8" s="201"/>
      <c r="BB8" s="193"/>
      <c r="BC8" s="202"/>
      <c r="BD8" s="193"/>
      <c r="BE8" s="193"/>
      <c r="BF8" s="193"/>
      <c r="BG8" s="193"/>
      <c r="BH8" s="193"/>
      <c r="BI8" s="193"/>
      <c r="BJ8" s="193"/>
      <c r="BK8" s="193"/>
      <c r="BL8" s="193"/>
      <c r="BM8" s="193"/>
      <c r="BN8" s="193"/>
      <c r="BO8" s="193"/>
      <c r="BP8" s="193"/>
      <c r="BQ8" s="193"/>
      <c r="BR8" s="193"/>
      <c r="BS8" s="193"/>
      <c r="BT8" s="191"/>
      <c r="BU8" s="191"/>
      <c r="BV8" s="191"/>
      <c r="BW8" s="191"/>
      <c r="BX8" s="191"/>
      <c r="BY8" s="191"/>
      <c r="BZ8" s="191"/>
      <c r="CA8" s="191"/>
      <c r="CH8" s="224" t="s">
        <v>442</v>
      </c>
      <c r="CM8" s="224" t="s">
        <v>453</v>
      </c>
      <c r="CP8" s="32" t="s">
        <v>473</v>
      </c>
      <c r="CR8" s="224" t="s">
        <v>469</v>
      </c>
      <c r="DA8" s="224" t="s">
        <v>483</v>
      </c>
      <c r="DF8" s="225" t="s">
        <v>511</v>
      </c>
      <c r="DI8" s="224" t="s">
        <v>505</v>
      </c>
    </row>
    <row r="9" spans="1:119">
      <c r="A9" s="680" t="s">
        <v>610</v>
      </c>
      <c r="B9" s="680"/>
      <c r="C9" s="680"/>
      <c r="D9" s="680"/>
      <c r="E9" s="680"/>
      <c r="F9" s="272"/>
      <c r="G9" s="273" t="str">
        <f>IF(F9&gt;1000," "," [ΕΕΕΕ]")</f>
        <v xml:space="preserve"> [ΕΕΕΕ]</v>
      </c>
      <c r="H9" s="681" t="s">
        <v>852</v>
      </c>
      <c r="I9" s="697"/>
      <c r="J9" s="697"/>
      <c r="K9" s="697"/>
      <c r="L9" s="697"/>
      <c r="M9" s="697"/>
      <c r="N9" s="698" t="s">
        <v>298</v>
      </c>
      <c r="O9" s="698"/>
      <c r="P9" s="683" t="s">
        <v>674</v>
      </c>
      <c r="Q9" s="683"/>
      <c r="R9" s="683"/>
      <c r="S9" s="683"/>
      <c r="T9" s="683"/>
      <c r="U9" s="261"/>
      <c r="V9" s="34"/>
      <c r="W9" s="34"/>
      <c r="X9" s="34"/>
      <c r="Y9" s="34"/>
      <c r="Z9" s="34"/>
      <c r="AA9" s="34"/>
      <c r="AB9" s="34"/>
      <c r="AC9" s="34"/>
      <c r="AD9" s="36"/>
      <c r="AE9" s="192"/>
      <c r="AF9" s="188"/>
      <c r="AG9" s="188"/>
      <c r="AH9" s="188"/>
      <c r="AI9" s="188"/>
      <c r="AJ9" s="188"/>
      <c r="AK9" s="188"/>
      <c r="AL9" s="188"/>
      <c r="AM9" s="188"/>
      <c r="AN9" s="193"/>
      <c r="AO9" s="193"/>
      <c r="AP9" s="193"/>
      <c r="AQ9" s="193"/>
      <c r="AR9" s="193" t="s">
        <v>165</v>
      </c>
      <c r="AS9" s="193"/>
      <c r="AT9" s="193"/>
      <c r="AU9" s="193"/>
      <c r="AV9" s="193" t="s">
        <v>247</v>
      </c>
      <c r="AW9" s="193"/>
      <c r="AX9" s="193"/>
      <c r="AY9" s="193"/>
      <c r="AZ9" s="193"/>
      <c r="BA9" s="201"/>
      <c r="BB9" s="193"/>
      <c r="BC9" s="193"/>
      <c r="BD9" s="193"/>
      <c r="BE9" s="193"/>
      <c r="BF9" s="193"/>
      <c r="BG9" s="193"/>
      <c r="BH9" s="193"/>
      <c r="BI9" s="193"/>
      <c r="BJ9" s="193"/>
      <c r="BK9" s="193"/>
      <c r="BL9" s="193"/>
      <c r="BM9" s="193"/>
      <c r="BN9" s="193"/>
      <c r="BO9" s="193"/>
      <c r="BP9" s="193"/>
      <c r="BQ9" s="193"/>
      <c r="BR9" s="193"/>
      <c r="BS9" s="193"/>
      <c r="BT9" s="191"/>
      <c r="BU9" s="191"/>
      <c r="BV9" s="191"/>
      <c r="BW9" s="191"/>
      <c r="BX9" s="191"/>
      <c r="BY9" s="191"/>
      <c r="BZ9" s="191"/>
      <c r="CA9" s="191"/>
      <c r="CC9" s="224" t="s">
        <v>484</v>
      </c>
      <c r="CH9" s="224" t="s">
        <v>443</v>
      </c>
      <c r="CM9" s="224"/>
      <c r="CP9" s="32" t="s">
        <v>474</v>
      </c>
      <c r="CR9" s="224" t="s">
        <v>463</v>
      </c>
      <c r="DA9" s="224" t="s">
        <v>449</v>
      </c>
      <c r="DF9" s="224" t="s">
        <v>491</v>
      </c>
      <c r="DI9" s="224" t="s">
        <v>506</v>
      </c>
    </row>
    <row r="10" spans="1:119" ht="14.4" customHeight="1">
      <c r="A10" s="680" t="s">
        <v>611</v>
      </c>
      <c r="B10" s="680"/>
      <c r="C10" s="724" t="str">
        <f>IFERROR(IF(F8="μονοκατοικια, πολυκατοικια","υπνοδωματια:",IF(INDEX(sys!H50:H92,MATCH(F8,sys!B50:B92,0))="-","εμβαδον (τμ):","αριθμ. Κλινων:")),"-")</f>
        <v>-</v>
      </c>
      <c r="D10" s="724"/>
      <c r="E10" s="724"/>
      <c r="F10" s="270" t="s">
        <v>236</v>
      </c>
      <c r="G10" s="681" t="str">
        <f>IFERROR(IF(F8="μονοκατοικια, πολυκατοικια","κμ/υπν/ετος:",IF(INDEX(sys!H50:H92,MATCH(F8,sys!B50:B92,0))="-","κμ/τμ/ετος:","κμ/κλ./ετος:")),"-")</f>
        <v>-</v>
      </c>
      <c r="H10" s="681"/>
      <c r="I10" s="271" t="str">
        <f>IFERROR(IF(INDEX(sys!H50:H92,MATCH(F8,sys!B50:B92,0))="-",INDEX(sys!I50:I92,MATCH(F8,sys!B50:B92,0)),INDEX(sys!H50:H92,MATCH(F8,sys!B50:B92,0))),"-")</f>
        <v>-</v>
      </c>
      <c r="J10" s="263"/>
      <c r="K10" s="697" t="s">
        <v>612</v>
      </c>
      <c r="L10" s="697"/>
      <c r="M10" s="697"/>
      <c r="N10" s="696">
        <f>IFERROR(F10*I10,0)</f>
        <v>0</v>
      </c>
      <c r="O10" s="696"/>
      <c r="P10" s="688" t="s">
        <v>599</v>
      </c>
      <c r="Q10" s="688"/>
      <c r="R10" s="688"/>
      <c r="S10" s="688"/>
      <c r="T10" s="688"/>
      <c r="U10" s="261"/>
      <c r="V10" s="34"/>
      <c r="W10" s="34"/>
      <c r="X10" s="34"/>
      <c r="Y10" s="34"/>
      <c r="Z10" s="34"/>
      <c r="AA10" s="34"/>
      <c r="AB10" s="34"/>
      <c r="AC10" s="34"/>
      <c r="AD10" s="36"/>
      <c r="AE10" s="192"/>
      <c r="AF10" s="188"/>
      <c r="AG10" s="188"/>
      <c r="AH10" s="188"/>
      <c r="AI10" s="188"/>
      <c r="AJ10" s="188"/>
      <c r="AK10" s="188"/>
      <c r="AL10" s="188"/>
      <c r="AM10" s="188"/>
      <c r="AN10" s="193"/>
      <c r="AO10" s="193"/>
      <c r="AP10" s="193"/>
      <c r="AQ10" s="193"/>
      <c r="AR10" s="193"/>
      <c r="AS10" s="193"/>
      <c r="AT10" s="193"/>
      <c r="AU10" s="193"/>
      <c r="AV10" s="193" t="s">
        <v>248</v>
      </c>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1"/>
      <c r="BU10" s="191"/>
      <c r="BV10" s="191"/>
      <c r="BW10" s="191"/>
      <c r="BX10" s="191"/>
      <c r="BY10" s="191"/>
      <c r="BZ10" s="191"/>
      <c r="CA10" s="191"/>
      <c r="CC10" s="224" t="s">
        <v>485</v>
      </c>
      <c r="CM10" s="225" t="s">
        <v>457</v>
      </c>
      <c r="CP10" s="32" t="s">
        <v>475</v>
      </c>
      <c r="CR10" s="224" t="s">
        <v>470</v>
      </c>
      <c r="DA10" s="224" t="s">
        <v>450</v>
      </c>
      <c r="DF10" s="224" t="s">
        <v>494</v>
      </c>
    </row>
    <row r="11" spans="1:119" ht="14.4" customHeight="1">
      <c r="A11" s="680" t="s">
        <v>613</v>
      </c>
      <c r="B11" s="680"/>
      <c r="C11" s="680"/>
      <c r="D11" s="697" t="s">
        <v>614</v>
      </c>
      <c r="E11" s="697"/>
      <c r="F11" s="117">
        <v>0</v>
      </c>
      <c r="G11" s="681" t="s">
        <v>615</v>
      </c>
      <c r="H11" s="681"/>
      <c r="I11" s="117">
        <v>0</v>
      </c>
      <c r="J11" s="263"/>
      <c r="K11" s="697" t="s">
        <v>616</v>
      </c>
      <c r="L11" s="697"/>
      <c r="M11" s="697"/>
      <c r="N11" s="696">
        <f>F11*I11</f>
        <v>0</v>
      </c>
      <c r="O11" s="696"/>
      <c r="P11" s="688"/>
      <c r="Q11" s="688"/>
      <c r="R11" s="688"/>
      <c r="S11" s="688"/>
      <c r="T11" s="688"/>
      <c r="U11" s="261"/>
      <c r="V11" s="34"/>
      <c r="W11" s="34"/>
      <c r="X11" s="34"/>
      <c r="Y11" s="34"/>
      <c r="Z11" s="34"/>
      <c r="AA11" s="34"/>
      <c r="AB11" s="34"/>
      <c r="AC11" s="34"/>
      <c r="AD11" s="36"/>
      <c r="AE11" s="192"/>
      <c r="AF11" s="188"/>
      <c r="AG11" s="188"/>
      <c r="AH11" s="188"/>
      <c r="AI11" s="188"/>
      <c r="AJ11" s="188"/>
      <c r="AK11" s="188"/>
      <c r="AL11" s="188"/>
      <c r="AM11" s="188"/>
      <c r="AN11" s="193"/>
      <c r="AO11" s="193"/>
      <c r="AP11" s="193"/>
      <c r="AQ11" s="193"/>
      <c r="AR11" s="193" t="s">
        <v>160</v>
      </c>
      <c r="AS11" s="193"/>
      <c r="AT11" s="193"/>
      <c r="AU11" s="193"/>
      <c r="AV11" s="193" t="s">
        <v>249</v>
      </c>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1"/>
      <c r="BU11" s="191"/>
      <c r="BV11" s="191"/>
      <c r="BW11" s="191"/>
      <c r="BX11" s="191"/>
      <c r="BY11" s="191"/>
      <c r="BZ11" s="191"/>
      <c r="CA11" s="191"/>
      <c r="CC11" s="224" t="s">
        <v>486</v>
      </c>
      <c r="CM11" s="224" t="s">
        <v>459</v>
      </c>
      <c r="CR11" s="224" t="s">
        <v>464</v>
      </c>
    </row>
    <row r="12" spans="1:119" ht="14.4" customHeight="1" thickBot="1">
      <c r="A12" s="680" t="s">
        <v>617</v>
      </c>
      <c r="B12" s="680"/>
      <c r="C12" s="680"/>
      <c r="D12" s="697" t="s">
        <v>614</v>
      </c>
      <c r="E12" s="697"/>
      <c r="F12" s="117">
        <v>0</v>
      </c>
      <c r="G12" s="778" t="s">
        <v>615</v>
      </c>
      <c r="H12" s="778"/>
      <c r="I12" s="265">
        <v>0</v>
      </c>
      <c r="J12" s="264"/>
      <c r="K12" s="769" t="s">
        <v>618</v>
      </c>
      <c r="L12" s="769"/>
      <c r="M12" s="769"/>
      <c r="N12" s="743">
        <f>F12*I12</f>
        <v>0</v>
      </c>
      <c r="O12" s="743"/>
      <c r="P12" s="688"/>
      <c r="Q12" s="688"/>
      <c r="R12" s="688"/>
      <c r="S12" s="688"/>
      <c r="T12" s="688"/>
      <c r="U12" s="261"/>
      <c r="V12" s="34"/>
      <c r="W12" s="34"/>
      <c r="X12" s="34"/>
      <c r="Y12" s="34"/>
      <c r="Z12" s="34"/>
      <c r="AA12" s="34"/>
      <c r="AB12" s="34"/>
      <c r="AC12" s="34"/>
      <c r="AD12" s="36"/>
      <c r="AE12" s="725" t="s">
        <v>297</v>
      </c>
      <c r="AF12" s="726"/>
      <c r="AG12" s="726"/>
      <c r="AH12" s="726"/>
      <c r="AI12" s="726"/>
      <c r="AJ12" s="726"/>
      <c r="AK12" s="726"/>
      <c r="AL12" s="726"/>
      <c r="AM12" s="726"/>
      <c r="AN12" s="193"/>
      <c r="AO12" s="193"/>
      <c r="AP12" s="193"/>
      <c r="AQ12" s="193"/>
      <c r="AR12" s="193" t="s">
        <v>161</v>
      </c>
      <c r="AS12" s="193"/>
      <c r="AT12" s="193"/>
      <c r="AU12" s="193"/>
      <c r="AV12" s="193" t="s">
        <v>250</v>
      </c>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1"/>
      <c r="BU12" s="191"/>
      <c r="BV12" s="191"/>
      <c r="BW12" s="191"/>
      <c r="BX12" s="191"/>
      <c r="BY12" s="191"/>
      <c r="BZ12" s="191"/>
      <c r="CA12" s="191"/>
      <c r="CC12" s="224" t="s">
        <v>487</v>
      </c>
      <c r="CM12" s="224" t="s">
        <v>460</v>
      </c>
      <c r="CP12" s="226" t="s">
        <v>476</v>
      </c>
      <c r="CR12" s="224" t="s">
        <v>465</v>
      </c>
    </row>
    <row r="13" spans="1:119" ht="16.8" customHeight="1" thickTop="1" thickBot="1">
      <c r="A13" s="690" t="s">
        <v>851</v>
      </c>
      <c r="B13" s="690"/>
      <c r="C13" s="690"/>
      <c r="D13" s="690"/>
      <c r="E13" s="690"/>
      <c r="F13" s="531">
        <f>S43</f>
        <v>0</v>
      </c>
      <c r="G13" s="501" t="s">
        <v>823</v>
      </c>
      <c r="H13" s="502" t="s">
        <v>526</v>
      </c>
      <c r="I13" s="715" t="s">
        <v>577</v>
      </c>
      <c r="J13" s="716"/>
      <c r="K13" s="716"/>
      <c r="L13" s="716"/>
      <c r="M13" s="716"/>
      <c r="N13" s="716"/>
      <c r="O13" s="386" t="s">
        <v>658</v>
      </c>
      <c r="P13" s="689"/>
      <c r="Q13" s="689"/>
      <c r="R13" s="689"/>
      <c r="S13" s="689"/>
      <c r="T13" s="689"/>
      <c r="U13" s="261"/>
      <c r="V13" s="34"/>
      <c r="W13" s="34"/>
      <c r="X13" s="34"/>
      <c r="Y13" s="34"/>
      <c r="Z13" s="34"/>
      <c r="AA13" s="34"/>
      <c r="AB13" s="34"/>
      <c r="AC13" s="34"/>
      <c r="AD13" s="36"/>
      <c r="AE13" s="663" t="s">
        <v>424</v>
      </c>
      <c r="AF13" s="664"/>
      <c r="AG13" s="664"/>
      <c r="AH13" s="664"/>
      <c r="AI13" s="665"/>
      <c r="AJ13" s="664"/>
      <c r="AK13" s="664"/>
      <c r="AL13" s="664"/>
      <c r="AM13" s="664"/>
      <c r="AN13" s="659" t="s">
        <v>368</v>
      </c>
      <c r="AO13" s="660"/>
      <c r="AP13" s="660"/>
      <c r="AQ13" s="660"/>
      <c r="AR13" s="660"/>
      <c r="AS13" s="660"/>
      <c r="AT13" s="660"/>
      <c r="AU13" s="660"/>
      <c r="AV13" s="660"/>
      <c r="AW13" s="660"/>
      <c r="AX13" s="661"/>
      <c r="AY13" s="659" t="s">
        <v>374</v>
      </c>
      <c r="AZ13" s="660"/>
      <c r="BA13" s="660"/>
      <c r="BB13" s="660"/>
      <c r="BC13" s="660"/>
      <c r="BD13" s="661"/>
      <c r="BE13" s="659" t="s">
        <v>387</v>
      </c>
      <c r="BF13" s="660"/>
      <c r="BG13" s="660"/>
      <c r="BH13" s="660"/>
      <c r="BI13" s="660"/>
      <c r="BJ13" s="661"/>
      <c r="BK13" s="659" t="s">
        <v>388</v>
      </c>
      <c r="BL13" s="660"/>
      <c r="BM13" s="660"/>
      <c r="BN13" s="661"/>
      <c r="BO13" s="659" t="s">
        <v>391</v>
      </c>
      <c r="BP13" s="660"/>
      <c r="BQ13" s="660"/>
      <c r="BR13" s="660"/>
      <c r="BS13" s="660"/>
      <c r="BT13" s="660"/>
      <c r="BU13" s="659" t="s">
        <v>393</v>
      </c>
      <c r="BV13" s="660"/>
      <c r="BW13" s="660"/>
      <c r="BX13" s="660"/>
      <c r="BY13" s="660"/>
      <c r="BZ13" s="661"/>
      <c r="CA13" s="191"/>
      <c r="CM13" s="224" t="s">
        <v>461</v>
      </c>
    </row>
    <row r="14" spans="1:119" ht="15" thickTop="1">
      <c r="A14" s="680" t="s">
        <v>709</v>
      </c>
      <c r="B14" s="680"/>
      <c r="C14" s="680"/>
      <c r="D14" s="680"/>
      <c r="E14" s="680"/>
      <c r="F14" s="680"/>
      <c r="G14" s="750"/>
      <c r="H14" s="503" t="s">
        <v>824</v>
      </c>
      <c r="I14" s="718" t="s">
        <v>455</v>
      </c>
      <c r="J14" s="719"/>
      <c r="K14" s="719"/>
      <c r="L14" s="719"/>
      <c r="M14" s="719"/>
      <c r="N14" s="720"/>
      <c r="O14" s="723" t="s">
        <v>425</v>
      </c>
      <c r="P14" s="723"/>
      <c r="Q14" s="723"/>
      <c r="R14" s="723"/>
      <c r="S14" s="723"/>
      <c r="T14" s="723"/>
      <c r="U14" s="739" t="s">
        <v>359</v>
      </c>
      <c r="V14" s="699"/>
      <c r="W14" s="699"/>
      <c r="X14" s="699"/>
      <c r="Y14" s="699"/>
      <c r="Z14" s="699"/>
      <c r="AA14" s="699" t="s">
        <v>292</v>
      </c>
      <c r="AB14" s="699"/>
      <c r="AC14" s="699"/>
      <c r="AD14" s="740"/>
      <c r="AE14" s="223" t="s">
        <v>14</v>
      </c>
      <c r="AF14" s="672" t="s">
        <v>15</v>
      </c>
      <c r="AG14" s="672"/>
      <c r="AH14" s="672" t="s">
        <v>17</v>
      </c>
      <c r="AI14" s="673"/>
      <c r="AJ14" s="666" t="s">
        <v>357</v>
      </c>
      <c r="AK14" s="662"/>
      <c r="AL14" s="662"/>
      <c r="AM14" s="667"/>
      <c r="AN14" s="187"/>
      <c r="AO14" s="188"/>
      <c r="AP14" s="188"/>
      <c r="AQ14" s="188"/>
      <c r="AR14" s="188"/>
      <c r="AS14" s="188"/>
      <c r="AT14" s="188"/>
      <c r="AU14" s="188"/>
      <c r="AV14" s="188" t="s">
        <v>253</v>
      </c>
      <c r="AW14" s="188"/>
      <c r="AX14" s="203"/>
      <c r="AY14" s="612" t="s">
        <v>384</v>
      </c>
      <c r="AZ14" s="610"/>
      <c r="BA14" s="610" t="s">
        <v>385</v>
      </c>
      <c r="BB14" s="611"/>
      <c r="BC14" s="612" t="s">
        <v>386</v>
      </c>
      <c r="BD14" s="611"/>
      <c r="BE14" s="612" t="s">
        <v>389</v>
      </c>
      <c r="BF14" s="610"/>
      <c r="BG14" s="610" t="s">
        <v>385</v>
      </c>
      <c r="BH14" s="610"/>
      <c r="BI14" s="612" t="s">
        <v>386</v>
      </c>
      <c r="BJ14" s="611"/>
      <c r="BK14" s="612" t="s">
        <v>389</v>
      </c>
      <c r="BL14" s="610"/>
      <c r="BM14" s="612" t="s">
        <v>390</v>
      </c>
      <c r="BN14" s="611"/>
      <c r="BO14" s="612" t="s">
        <v>392</v>
      </c>
      <c r="BP14" s="610"/>
      <c r="BQ14" s="610" t="s">
        <v>385</v>
      </c>
      <c r="BR14" s="610"/>
      <c r="BS14" s="612" t="s">
        <v>386</v>
      </c>
      <c r="BT14" s="611"/>
      <c r="BU14" s="612" t="s">
        <v>392</v>
      </c>
      <c r="BV14" s="610"/>
      <c r="BW14" s="610" t="s">
        <v>385</v>
      </c>
      <c r="BX14" s="611"/>
      <c r="BY14" s="610" t="s">
        <v>386</v>
      </c>
      <c r="BZ14" s="611"/>
      <c r="CA14" s="191"/>
      <c r="DO14" s="32" t="s">
        <v>675</v>
      </c>
    </row>
    <row r="15" spans="1:119">
      <c r="C15" s="564" t="str">
        <f>IF($N$8="κτιριακη μοναδα","[αρνητικο μηκος: 0,50*Uτ,b για εξ. αερα","[αρνητικο μηκος: πλήρης σκιά")</f>
        <v>[αρνητικο μηκος: 0,50*Uτ,b για εξ. αερα</v>
      </c>
      <c r="D15" s="564"/>
      <c r="E15" s="564"/>
      <c r="F15" s="564"/>
      <c r="G15" s="564"/>
      <c r="H15" s="504" t="str">
        <f>sys!S152</f>
        <v>-</v>
      </c>
      <c r="I15" s="721" t="s">
        <v>454</v>
      </c>
      <c r="J15" s="722"/>
      <c r="K15" s="713" t="s">
        <v>457</v>
      </c>
      <c r="L15" s="714"/>
      <c r="M15" s="227" t="s">
        <v>477</v>
      </c>
      <c r="N15" s="228">
        <f>sys!P121</f>
        <v>0</v>
      </c>
      <c r="O15" s="741" t="s">
        <v>525</v>
      </c>
      <c r="P15" s="741"/>
      <c r="Q15" s="741"/>
      <c r="R15" s="741"/>
      <c r="S15" s="741"/>
      <c r="T15" s="741"/>
      <c r="U15" s="727" t="s">
        <v>642</v>
      </c>
      <c r="V15" s="614"/>
      <c r="W15" s="613" t="s">
        <v>643</v>
      </c>
      <c r="X15" s="614"/>
      <c r="Y15" s="613" t="s">
        <v>644</v>
      </c>
      <c r="Z15" s="614"/>
      <c r="AA15" s="622" t="s">
        <v>645</v>
      </c>
      <c r="AB15" s="562"/>
      <c r="AC15" s="622" t="s">
        <v>646</v>
      </c>
      <c r="AD15" s="679"/>
      <c r="AE15" s="222" t="s">
        <v>11</v>
      </c>
      <c r="AF15" s="671" t="s">
        <v>16</v>
      </c>
      <c r="AG15" s="671"/>
      <c r="AH15" s="669" t="s">
        <v>18</v>
      </c>
      <c r="AI15" s="670"/>
      <c r="AJ15" s="662" t="s">
        <v>127</v>
      </c>
      <c r="AK15" s="662"/>
      <c r="AL15" s="662" t="s">
        <v>128</v>
      </c>
      <c r="AM15" s="662"/>
      <c r="AN15" s="187" t="s">
        <v>372</v>
      </c>
      <c r="AO15" s="188"/>
      <c r="AP15" s="188"/>
      <c r="AQ15" s="188"/>
      <c r="AR15" s="188"/>
      <c r="AS15" s="188"/>
      <c r="AT15" s="188"/>
      <c r="AU15" s="188"/>
      <c r="AV15" s="188" t="s">
        <v>254</v>
      </c>
      <c r="AW15" s="188" t="s">
        <v>372</v>
      </c>
      <c r="AX15" s="203" t="s">
        <v>372</v>
      </c>
      <c r="AY15" s="187" t="s">
        <v>372</v>
      </c>
      <c r="AZ15" s="188" t="s">
        <v>372</v>
      </c>
      <c r="BA15" s="188" t="s">
        <v>371</v>
      </c>
      <c r="BB15" s="203" t="s">
        <v>383</v>
      </c>
      <c r="BC15" s="188" t="s">
        <v>371</v>
      </c>
      <c r="BD15" s="203" t="s">
        <v>383</v>
      </c>
      <c r="BE15" s="187" t="s">
        <v>372</v>
      </c>
      <c r="BF15" s="188" t="s">
        <v>372</v>
      </c>
      <c r="BG15" s="188" t="s">
        <v>371</v>
      </c>
      <c r="BH15" s="188" t="s">
        <v>383</v>
      </c>
      <c r="BI15" s="187" t="s">
        <v>371</v>
      </c>
      <c r="BJ15" s="203" t="s">
        <v>383</v>
      </c>
      <c r="BK15" s="187" t="s">
        <v>372</v>
      </c>
      <c r="BL15" s="188" t="s">
        <v>372</v>
      </c>
      <c r="BM15" s="188" t="s">
        <v>371</v>
      </c>
      <c r="BN15" s="203" t="s">
        <v>383</v>
      </c>
      <c r="BO15" s="187" t="s">
        <v>372</v>
      </c>
      <c r="BP15" s="188" t="s">
        <v>372</v>
      </c>
      <c r="BQ15" s="188" t="s">
        <v>371</v>
      </c>
      <c r="BR15" s="188" t="s">
        <v>383</v>
      </c>
      <c r="BS15" s="187" t="s">
        <v>371</v>
      </c>
      <c r="BT15" s="203" t="s">
        <v>383</v>
      </c>
      <c r="BU15" s="187" t="s">
        <v>372</v>
      </c>
      <c r="BV15" s="188" t="s">
        <v>372</v>
      </c>
      <c r="BW15" s="188" t="s">
        <v>371</v>
      </c>
      <c r="BX15" s="203" t="s">
        <v>383</v>
      </c>
      <c r="BY15" s="188" t="s">
        <v>371</v>
      </c>
      <c r="BZ15" s="203" t="s">
        <v>383</v>
      </c>
      <c r="CA15" s="191"/>
      <c r="DO15" s="32" t="s">
        <v>671</v>
      </c>
    </row>
    <row r="16" spans="1:119">
      <c r="A16" s="562" t="s">
        <v>4</v>
      </c>
      <c r="B16" s="563"/>
      <c r="C16" s="37" t="s">
        <v>5</v>
      </c>
      <c r="D16" s="37" t="s">
        <v>6</v>
      </c>
      <c r="E16" s="38" t="s">
        <v>7</v>
      </c>
      <c r="F16" s="37" t="s">
        <v>19</v>
      </c>
      <c r="G16" s="238" t="s">
        <v>22</v>
      </c>
      <c r="H16" s="241" t="s">
        <v>529</v>
      </c>
      <c r="I16" s="37" t="s">
        <v>289</v>
      </c>
      <c r="J16" s="229" t="s">
        <v>488</v>
      </c>
      <c r="K16" s="237" t="s">
        <v>827</v>
      </c>
      <c r="L16" s="234" t="s">
        <v>9</v>
      </c>
      <c r="M16" s="39" t="s">
        <v>10</v>
      </c>
      <c r="N16" s="528" t="s">
        <v>714</v>
      </c>
      <c r="O16" s="40" t="s">
        <v>122</v>
      </c>
      <c r="P16" s="40" t="s">
        <v>123</v>
      </c>
      <c r="Q16" s="41" t="s">
        <v>13</v>
      </c>
      <c r="R16" s="40" t="s">
        <v>124</v>
      </c>
      <c r="S16" s="41" t="s">
        <v>125</v>
      </c>
      <c r="T16" s="40" t="s">
        <v>126</v>
      </c>
      <c r="U16" s="150" t="s">
        <v>489</v>
      </c>
      <c r="V16" s="151" t="s">
        <v>352</v>
      </c>
      <c r="W16" s="160" t="s">
        <v>349</v>
      </c>
      <c r="X16" s="164" t="s">
        <v>350</v>
      </c>
      <c r="Y16" s="149" t="s">
        <v>343</v>
      </c>
      <c r="Z16" s="151" t="s">
        <v>344</v>
      </c>
      <c r="AA16" s="150" t="s">
        <v>351</v>
      </c>
      <c r="AB16" s="149" t="s">
        <v>345</v>
      </c>
      <c r="AC16" s="150" t="s">
        <v>351</v>
      </c>
      <c r="AD16" s="149" t="s">
        <v>345</v>
      </c>
      <c r="AE16" s="204" t="s">
        <v>8</v>
      </c>
      <c r="AF16" s="180" t="s">
        <v>29</v>
      </c>
      <c r="AG16" s="180" t="s">
        <v>30</v>
      </c>
      <c r="AH16" s="180" t="s">
        <v>20</v>
      </c>
      <c r="AI16" s="180" t="s">
        <v>21</v>
      </c>
      <c r="AJ16" s="205" t="s">
        <v>125</v>
      </c>
      <c r="AK16" s="180" t="s">
        <v>126</v>
      </c>
      <c r="AL16" s="205" t="s">
        <v>125</v>
      </c>
      <c r="AM16" s="206" t="s">
        <v>126</v>
      </c>
      <c r="AN16" s="187" t="s">
        <v>373</v>
      </c>
      <c r="AO16" s="188"/>
      <c r="AP16" s="188"/>
      <c r="AQ16" s="188"/>
      <c r="AR16" s="188"/>
      <c r="AS16" s="188"/>
      <c r="AT16" s="188"/>
      <c r="AU16" s="188"/>
      <c r="AV16" s="188" t="s">
        <v>255</v>
      </c>
      <c r="AW16" s="188" t="s">
        <v>369</v>
      </c>
      <c r="AX16" s="203" t="s">
        <v>370</v>
      </c>
      <c r="AY16" s="207" t="s">
        <v>369</v>
      </c>
      <c r="AZ16" s="208" t="s">
        <v>370</v>
      </c>
      <c r="BA16" s="208" t="s">
        <v>369</v>
      </c>
      <c r="BB16" s="209" t="s">
        <v>370</v>
      </c>
      <c r="BC16" s="208" t="s">
        <v>369</v>
      </c>
      <c r="BD16" s="209" t="s">
        <v>370</v>
      </c>
      <c r="BE16" s="207" t="s">
        <v>369</v>
      </c>
      <c r="BF16" s="208" t="s">
        <v>370</v>
      </c>
      <c r="BG16" s="208" t="s">
        <v>369</v>
      </c>
      <c r="BH16" s="208" t="s">
        <v>370</v>
      </c>
      <c r="BI16" s="207" t="s">
        <v>369</v>
      </c>
      <c r="BJ16" s="209" t="s">
        <v>370</v>
      </c>
      <c r="BK16" s="207" t="s">
        <v>369</v>
      </c>
      <c r="BL16" s="208" t="s">
        <v>370</v>
      </c>
      <c r="BM16" s="208" t="s">
        <v>369</v>
      </c>
      <c r="BN16" s="209" t="s">
        <v>370</v>
      </c>
      <c r="BO16" s="207" t="s">
        <v>369</v>
      </c>
      <c r="BP16" s="208" t="s">
        <v>370</v>
      </c>
      <c r="BQ16" s="208" t="s">
        <v>369</v>
      </c>
      <c r="BR16" s="208" t="s">
        <v>370</v>
      </c>
      <c r="BS16" s="207" t="s">
        <v>369</v>
      </c>
      <c r="BT16" s="209" t="s">
        <v>370</v>
      </c>
      <c r="BU16" s="207" t="s">
        <v>369</v>
      </c>
      <c r="BV16" s="208" t="s">
        <v>370</v>
      </c>
      <c r="BW16" s="208" t="s">
        <v>369</v>
      </c>
      <c r="BX16" s="209" t="s">
        <v>370</v>
      </c>
      <c r="BY16" s="208" t="s">
        <v>369</v>
      </c>
      <c r="BZ16" s="209" t="s">
        <v>370</v>
      </c>
      <c r="CA16" s="191"/>
      <c r="DO16" s="32" t="s">
        <v>676</v>
      </c>
    </row>
    <row r="17" spans="1:119">
      <c r="A17" s="161">
        <v>1</v>
      </c>
      <c r="B17" s="414"/>
      <c r="C17" s="116"/>
      <c r="D17" s="116"/>
      <c r="E17" s="47" t="str">
        <f>IF(C17=0,"-",IF(C17&gt;0,C17*D17,-1*C17*D17))</f>
        <v>-</v>
      </c>
      <c r="F17" s="116"/>
      <c r="G17" s="239" t="str">
        <f>IFERROR(E17-F17,"-")</f>
        <v>-</v>
      </c>
      <c r="H17" s="240"/>
      <c r="I17" s="116"/>
      <c r="J17" s="116"/>
      <c r="K17" s="236" t="str">
        <f>IF(C17&gt;0,IFERROR(((I17*(G17-H17*E17*0.01)+J17*H17*E17*0.01)/G17)+IF(N17="Πόρτα",0,IF($N$9="ΝΑΙ",0.2,0)),"-"),IF($N$8="κτιριακη μοναδα",IFERROR(0.5*((I17*(G17-H17*E17*0.01)+J17*H17*E17*0.01)/G17+IF(N17="Πόρτα",0,IF($N$9="ΝΑΙ",0.2,0))),"-"),IFERROR((I17*(G17-H17*E17*0.01)+J17*H17*E17*0.01)/G17+IF(N17="Πόρτα",0,IF($N$9="ΝΑΙ",0.2,0)),"-")))</f>
        <v>-</v>
      </c>
      <c r="L17" s="235"/>
      <c r="M17" s="235"/>
      <c r="N17" s="529" t="s">
        <v>671</v>
      </c>
      <c r="O17" s="46">
        <f>IF(L17=-1,0,IF(C17&gt;=0,IF(K17&gt;0.6,BA17+0.0444*(L17-AW17)*(BB17-BA17),1),0))</f>
        <v>1</v>
      </c>
      <c r="P17" s="120">
        <f>IF(L17=-1,0,IF(C17&gt;=0,IF(K17&gt;0.6,BC17+0.0444*(L17-AW17)*(BD17-BC17),1),0))</f>
        <v>1</v>
      </c>
      <c r="Q17" s="46">
        <f>IF(L17=-1,0,IF(C17&gt;=0,IF(K17&gt;0.6,BG17+0.0444*(L17-AW17)*(BH17-BG17),0.9),0))</f>
        <v>1</v>
      </c>
      <c r="R17" s="120">
        <f>IF(L17=-1,0,IF(C17&gt;=0,IF(K17&gt;0.6,IF(AG17=0,BI17+0.0444*(L17-AW17)*(BJ17-BI17),BM17+0.0444*(L17-AW17)*(BN17-BM17)),0.9),0))</f>
        <v>1</v>
      </c>
      <c r="S17" s="46">
        <f>IF(L17=-1,0,IF(C17&gt;=0,IF(K17&gt;0.6,AJ17*AL17,1),0))</f>
        <v>1</v>
      </c>
      <c r="T17" s="120">
        <f>IF(L17=-1,0,IF(C17&gt;=0,IF(K17&gt;0.6,AK17*AM17,1),0))</f>
        <v>1</v>
      </c>
      <c r="U17" s="121"/>
      <c r="V17" s="122"/>
      <c r="W17" s="116"/>
      <c r="X17" s="117"/>
      <c r="Y17" s="162"/>
      <c r="Z17" s="131"/>
      <c r="AA17" s="116"/>
      <c r="AB17" s="116"/>
      <c r="AC17" s="121"/>
      <c r="AD17" s="117"/>
      <c r="AE17" s="204">
        <f t="shared" ref="AE17:AE29" si="0">IFERROR(DEGREES(ATAN(V17/U17)),0)</f>
        <v>0</v>
      </c>
      <c r="AF17" s="180">
        <f>IFERROR(DEGREES(ATAN(W17/X17)),0)</f>
        <v>0</v>
      </c>
      <c r="AG17" s="180">
        <f>IF(Y17&gt;0,IF((Z17-X17)&gt;0,DEGREES(ATAN(Y17/(Z17-X17))),90),0)</f>
        <v>0</v>
      </c>
      <c r="AH17" s="180">
        <f>IFERROR(DEGREES(ATAN(AA17/AB17)),0)</f>
        <v>0</v>
      </c>
      <c r="AI17" s="180">
        <f>IFERROR(DEGREES(ATAN(AC17/AD17)),0)</f>
        <v>0</v>
      </c>
      <c r="AJ17" s="181">
        <f>BQ17+0.0444*(L17-AW17)*(BR17-BQ17)</f>
        <v>1</v>
      </c>
      <c r="AK17" s="181">
        <f>BS17+0.0444*(L17-AW17)*(BT17-BS17)</f>
        <v>1</v>
      </c>
      <c r="AL17" s="181">
        <f>BW17+0.0444*(L17-AW17)*(BX17-BW17)</f>
        <v>1</v>
      </c>
      <c r="AM17" s="181">
        <f>BY17+0.0444*(L17-AW17)*(BZ17-BY17)</f>
        <v>1</v>
      </c>
      <c r="AN17" s="219">
        <f>IF(L17=-1,"-",MROUND(L17, 22.5))</f>
        <v>0</v>
      </c>
      <c r="AO17" s="220"/>
      <c r="AP17" s="220"/>
      <c r="AQ17" s="220"/>
      <c r="AR17" s="220"/>
      <c r="AS17" s="220"/>
      <c r="AT17" s="220"/>
      <c r="AU17" s="220"/>
      <c r="AV17" s="220" t="s">
        <v>256</v>
      </c>
      <c r="AW17" s="220">
        <f>IF(AN17-L17&lt;=0,AN17,AN17-22.5)</f>
        <v>0</v>
      </c>
      <c r="AX17" s="221">
        <f>IF(AN17-L17=0,AN17,AW17+22.5)</f>
        <v>0</v>
      </c>
      <c r="AY17" s="187">
        <f>IF(MROUND(AE17,2.5)-AE17&lt;=0,MROUND(AE17,2.5),MROUND(AE17,2.5)-2.5)</f>
        <v>0</v>
      </c>
      <c r="AZ17" s="188">
        <f>IF(MROUND(AE17,2.5)-AE17=0,MROUND(AE17,2.5),AY17+2.5)</f>
        <v>0</v>
      </c>
      <c r="BA17" s="188">
        <f>INDEX(pin!$D$6:$T$42,MATCH(ΥΠΟΛΟΓΙΣΜΟΙ!AY17,pin!$B$6:$B$42,0),MATCH(ΥΠΟΛΟΓΙΣΜΟΙ!AW17,pin!$D$5:$T$5,0))+0.4*(AY17-AE17)*(INDEX(pin!$D$6:$T$42,MATCH(ΥΠΟΛΟΓΙΣΜΟΙ!AY17,pin!$B$6:$B$42,0),MATCH(ΥΠΟΛΟΓΙΣΜΟΙ!AW17,pin!$D$5:$T$5,0))-INDEX(pin!$D$6:$T$42,MATCH(ΥΠΟΛΟΓΙΣΜΟΙ!AZ17,pin!$B$6:$B$42,0),MATCH(ΥΠΟΛΟΓΙΣΜΟΙ!AW17,pin!$D$5:$T$5,0)))</f>
        <v>1</v>
      </c>
      <c r="BB17" s="203">
        <f>INDEX(pin!$D$6:$T$42,MATCH(ΥΠΟΛΟΓΙΣΜΟΙ!AY17,pin!$B$6:$B$42,0),MATCH(ΥΠΟΛΟΓΙΣΜΟΙ!AX17,pin!$D$5:$T$5,0))+0.4*(AY17-AE17)*(INDEX(pin!$D$6:$T$42,MATCH(ΥΠΟΛΟΓΙΣΜΟΙ!AY17,pin!$B$6:$B$42,0),MATCH(ΥΠΟΛΟΓΙΣΜΟΙ!AX17,pin!$D$5:$T$5,0))-INDEX(pin!$D$6:$T$42,MATCH(ΥΠΟΛΟΓΙΣΜΟΙ!AZ17,pin!$B$6:$B$42,0),MATCH(ΥΠΟΛΟΓΙΣΜΟΙ!AX17,pin!$D$5:$T$5,0)))</f>
        <v>1</v>
      </c>
      <c r="BC17" s="188">
        <f>INDEX(pin!$X$6:$AN$42,MATCH(ΥΠΟΛΟΓΙΣΜΟΙ!AY17,pin!$V$6:$V$42,0),MATCH(ΥΠΟΛΟΓΙΣΜΟΙ!AW17,pin!$X$5:$AN$5,0))+0.4*(AY17-AE17)*(INDEX(pin!$X$6:$AN$42,MATCH(ΥΠΟΛΟΓΙΣΜΟΙ!AY17,pin!$V$6:$V$42,0),MATCH(ΥΠΟΛΟΓΙΣΜΟΙ!AW17,pin!$X$5:$AN$5,0))-INDEX(pin!$X$6:$AN$42,MATCH(ΥΠΟΛΟΓΙΣΜΟΙ!AZ17,pin!$V$6:$V$42,0),MATCH(ΥΠΟΛΟΓΙΣΜΟΙ!AW17,pin!$X$5:$AN$5,0)))</f>
        <v>1</v>
      </c>
      <c r="BD17" s="188">
        <f>INDEX(pin!$X$6:$AN$42,MATCH(ΥΠΟΛΟΓΙΣΜΟΙ!AY17,pin!$V$6:$V$42,0),MATCH(ΥΠΟΛΟΓΙΣΜΟΙ!AX17,pin!$X$5:$AN$5,0))+0.4*(AY17-AE17)*(INDEX(pin!$X$6:$AN$42,MATCH(ΥΠΟΛΟΓΙΣΜΟΙ!AY17,pin!$V$6:$V$42,0),MATCH(ΥΠΟΛΟΓΙΣΜΟΙ!AX17,pin!$X$5:$AN$5,0))-INDEX(pin!$X$6:$AN$42,MATCH(ΥΠΟΛΟΓΙΣΜΟΙ!AZ17,pin!$V$6:$V$42,0),MATCH(ΥΠΟΛΟΓΙΣΜΟΙ!AX17,pin!$X$5:$AN$5,0)))</f>
        <v>1</v>
      </c>
      <c r="BE17" s="187">
        <f>IF(MROUND(AF17,2.5)-AF17&lt;=0,MROUND(AF17,2.5),MROUND(AF17,2.5)-2.5)</f>
        <v>0</v>
      </c>
      <c r="BF17" s="188">
        <f>IF(MROUND(AF17,2.5)-AF17=0,MROUND(AF17,2.5),BE17+2.5)</f>
        <v>0</v>
      </c>
      <c r="BG17" s="188">
        <f>INDEX(pin!$D$48:$T$84,MATCH(ΥΠΟΛΟΓΙΣΜΟΙ!BE17,pin!$B$48:$B$84,0),MATCH(ΥΠΟΛΟΓΙΣΜΟΙ!AW17,pin!$D$47:$T$47,0))+0.4*(BE17-AF17)*(INDEX(pin!$D$48:$T$84,MATCH(ΥΠΟΛΟΓΙΣΜΟΙ!BE17,pin!$B$48:$B$84,0),MATCH(ΥΠΟΛΟΓΙΣΜΟΙ!AW17,pin!$D$47:$T$47,0))-INDEX(pin!$D$48:$T$84,MATCH(ΥΠΟΛΟΓΙΣΜΟΙ!BF17,pin!$B$48:$B$84,0),MATCH(ΥΠΟΛΟΓΙΣΜΟΙ!AW17,pin!$D$47:$T$47,0)))</f>
        <v>1</v>
      </c>
      <c r="BH17" s="188">
        <f>INDEX(pin!$D$48:$T$84,MATCH(ΥΠΟΛΟΓΙΣΜΟΙ!BE17,pin!$B$48:$B$84,0),MATCH(ΥΠΟΛΟΓΙΣΜΟΙ!AX17,pin!$D$47:$T$47,0))+0.4*(BE17-AF17)*(INDEX(pin!$D$48:$T$84,MATCH(ΥΠΟΛΟΓΙΣΜΟΙ!BE17,pin!$B$48:$B$84,0),MATCH(ΥΠΟΛΟΓΙΣΜΟΙ!AX17,pin!$D$47:$T$47,0))-INDEX(pin!$D$48:$T$84,MATCH(ΥΠΟΛΟΓΙΣΜΟΙ!BF17,pin!$B$48:$B$84,0),MATCH(ΥΠΟΛΟΓΙΣΜΟΙ!AX17,pin!$D$47:$T$47,0)))</f>
        <v>1</v>
      </c>
      <c r="BI17" s="187">
        <f>INDEX(pin!$X$48:$AN$84,MATCH(ΥΠΟΛΟΓΙΣΜΟΙ!BE17,pin!$V$48:$V$84,0),MATCH(ΥΠΟΛΟΓΙΣΜΟΙ!AW17,pin!$X$47:$AN$47,0))+0.4*(BE17-AF17)*(INDEX(pin!$X$48:$AN$84,MATCH(ΥΠΟΛΟΓΙΣΜΟΙ!BE17,pin!$V$48:$V$84,0),MATCH(ΥΠΟΛΟΓΙΣΜΟΙ!AW17,pin!$X$47:$AN$47,0))-INDEX(pin!$X$48:$AN$84,MATCH(ΥΠΟΛΟΓΙΣΜΟΙ!BF17,pin!$V$48:$V$84,0),MATCH(ΥΠΟΛΟΓΙΣΜΟΙ!AW17,pin!$X$47:$AN$47,0)))</f>
        <v>1</v>
      </c>
      <c r="BJ17" s="203">
        <f>INDEX(pin!$X$48:$AN$84,MATCH(ΥΠΟΛΟΓΙΣΜΟΙ!BE17,pin!$V$48:$V$84,0),MATCH(ΥΠΟΛΟΓΙΣΜΟΙ!AX17,pin!$X$47:$AN$47,0))+0.4*(BE17-AF17)*(INDEX(pin!$X$48:$AN$84,MATCH(ΥΠΟΛΟΓΙΣΜΟΙ!BE17,pin!$V$48:$V$84,0),MATCH(ΥΠΟΛΟΓΙΣΜΟΙ!AX17,pin!$X$47:$AN$47,0))-INDEX(pin!$X$48:$AN$84,MATCH(ΥΠΟΛΟΓΙΣΜΟΙ!BF17,pin!$V$48:$V$84,0),MATCH(ΥΠΟΛΟΓΙΣΜΟΙ!AX17,pin!$X$47:$AN$47,0)))</f>
        <v>1</v>
      </c>
      <c r="BK17" s="187">
        <f>IF(MROUND(AG17,2.5)-AG17&lt;=0,MROUND(AG17,2.5),MROUND(AG17,2.5)-2.5)</f>
        <v>0</v>
      </c>
      <c r="BL17" s="188">
        <f>IF(MROUND(AG17,2.5)-AG17=0,MROUND(AG17,2.5),BK17+2.5)</f>
        <v>0</v>
      </c>
      <c r="BM17" s="188">
        <f>INDEX(pin!$X$48:$AN$84,MATCH(ΥΠΟΛΟΓΙΣΜΟΙ!BK17,pin!$V$48:$V$84,0),MATCH(ΥΠΟΛΟΓΙΣΜΟΙ!AW17,pin!$X$47:$AN$47,0))+0.4*(BK17-AG17)*(INDEX(pin!$X$48:$AN$84,MATCH(ΥΠΟΛΟΓΙΣΜΟΙ!BK17,pin!$V$48:$V$84,0),MATCH(ΥΠΟΛΟΓΙΣΜΟΙ!AW17,pin!$X$47:$AN$47,0))-INDEX(pin!$X$48:$AN$84,MATCH(ΥΠΟΛΟΓΙΣΜΟΙ!BL17,pin!$V$48:$V$84,0),MATCH(ΥΠΟΛΟΓΙΣΜΟΙ!AW17,pin!$X$47:$AN$47,0)))</f>
        <v>1</v>
      </c>
      <c r="BN17" s="203">
        <f>INDEX(pin!$X$48:$AN$84,MATCH(ΥΠΟΛΟΓΙΣΜΟΙ!BK17,pin!$V$48:$V$84,0),MATCH(ΥΠΟΛΟΓΙΣΜΟΙ!AX17,pin!$X$47:$AN$47,0))+0.4*(BK17-AG17)*(INDEX(pin!$X$48:$AN$84,MATCH(ΥΠΟΛΟΓΙΣΜΟΙ!BK17,pin!$V$48:$V$84,0),MATCH(ΥΠΟΛΟΓΙΣΜΟΙ!AX17,pin!$X$47:$AN$47,0))-INDEX(pin!$X$48:$AN$84,MATCH(ΥΠΟΛΟΓΙΣΜΟΙ!BL17,pin!$V$48:$V$84,0),MATCH(ΥΠΟΛΟΓΙΣΜΟΙ!AX17,pin!$X$47:$AN$47,0)))</f>
        <v>1</v>
      </c>
      <c r="BO17" s="187">
        <f>IF(MROUND(AH17,5)-AH17&lt;=0,MROUND(AH17,5),MROUND(AH17,5)-5)</f>
        <v>0</v>
      </c>
      <c r="BP17" s="188">
        <f>IF(MROUND(AH17,5)-AH17=0,MROUND(AH17,5),BO17+5)</f>
        <v>0</v>
      </c>
      <c r="BQ17" s="188">
        <f>INDEX(pin!$D$114:$T$132,MATCH(ΥΠΟΛΟΓΙΣΜΟΙ!BO17,pin!$B$114:$B$132,0),MATCH(ΥΠΟΛΟΓΙΣΜΟΙ!AW17,pin!$D$113:$T$113,0))+0.2*(BO17-AH17)*(INDEX(pin!$D$114:$T$132,MATCH(ΥΠΟΛΟΓΙΣΜΟΙ!BO17,pin!$B$114:$B$132,0),MATCH(ΥΠΟΛΟΓΙΣΜΟΙ!AW17,pin!$D$113:$T$113,0))-INDEX(pin!$D$114:$T$132,MATCH(ΥΠΟΛΟΓΙΣΜΟΙ!BP17,pin!$B$114:$B$132,0),MATCH(ΥΠΟΛΟΓΙΣΜΟΙ!AW17,pin!$D$113:$T$113,0)))</f>
        <v>1</v>
      </c>
      <c r="BR17" s="188">
        <f>INDEX(pin!$D$114:$T$132,MATCH(ΥΠΟΛΟΓΙΣΜΟΙ!BO17,pin!$B$114:$B$132,0),MATCH(ΥΠΟΛΟΓΙΣΜΟΙ!AX17,pin!$D$113:$T$113,0))+0.2*(BO17-AH17)*(INDEX(pin!$D$114:$T$132,MATCH(ΥΠΟΛΟΓΙΣΜΟΙ!BO17,pin!$B$114:$B$132,0),MATCH(ΥΠΟΛΟΓΙΣΜΟΙ!AX17,pin!$D$113:$T$113,0))-INDEX(pin!$D$114:$T$132,MATCH(ΥΠΟΛΟΓΙΣΜΟΙ!BP17,pin!$B$114:$B$132,0),MATCH(ΥΠΟΛΟΓΙΣΜΟΙ!AX17,pin!$D$113:$T$113,0)))</f>
        <v>1</v>
      </c>
      <c r="BS17" s="187">
        <f>INDEX(pin!$X$114:$AN$132,MATCH(ΥΠΟΛΟΓΙΣΜΟΙ!BO17,pin!$V$114:$V$132,0),MATCH(ΥΠΟΛΟΓΙΣΜΟΙ!AW17,pin!$X$113:$AN$113,0))+0.2*(BO17-AH17)*(INDEX(pin!$X$114:$AN$132,MATCH(ΥΠΟΛΟΓΙΣΜΟΙ!BO17,pin!$V$114:$V$132,0),MATCH(ΥΠΟΛΟΓΙΣΜΟΙ!AW17,pin!$X$113:$AN$113,0))-INDEX(pin!$X$114:$AN$132,MATCH(ΥΠΟΛΟΓΙΣΜΟΙ!BP17,pin!$V$114:$V$132,0),MATCH(ΥΠΟΛΟΓΙΣΜΟΙ!AW17,pin!$X$113:$AN$113,0)))</f>
        <v>1</v>
      </c>
      <c r="BT17" s="203">
        <f>INDEX(pin!$X$114:$AN$132,MATCH(ΥΠΟΛΟΓΙΣΜΟΙ!BO17,pin!$V$114:$V$132,0),MATCH(ΥΠΟΛΟΓΙΣΜΟΙ!AX17,pin!$X$113:$AN$113,0))+0.2*(BO17-AH17)*(INDEX(pin!$X$114:$AN$132,MATCH(ΥΠΟΛΟΓΙΣΜΟΙ!BO17,pin!$V$114:$V$132,0),MATCH(ΥΠΟΛΟΓΙΣΜΟΙ!AX17,pin!$X$113:$AN$113,0))-INDEX(pin!$X$114:$AN$132,MATCH(ΥΠΟΛΟΓΙΣΜΟΙ!BP17,pin!$V$114:$V$132,0),MATCH(ΥΠΟΛΟΓΙΣΜΟΙ!AX17,pin!$X$113:$AN$113,0)))</f>
        <v>1</v>
      </c>
      <c r="BU17" s="187">
        <f>IF(MROUND(AI17,5)-AI17&lt;=0,MROUND(AI17,5),MROUND(AI17,5)-5)</f>
        <v>0</v>
      </c>
      <c r="BV17" s="188">
        <f>IF(MROUND(AI17,5)-AI17=0,MROUND(AI17,5),BU17+5)</f>
        <v>0</v>
      </c>
      <c r="BW17" s="188">
        <f>INDEX(pin!$D$90:$T$108,MATCH(ΥΠΟΛΟΓΙΣΜΟΙ!BU17,pin!$B$90:$B$108,0),MATCH(ΥΠΟΛΟΓΙΣΜΟΙ!AW17,pin!$D$89:$T$89,0))+0.2*(BU17-AI17)*(INDEX(pin!$D$90:$T$108,MATCH(ΥΠΟΛΟΓΙΣΜΟΙ!BU17,pin!$B$90:$B$108,0),MATCH(ΥΠΟΛΟΓΙΣΜΟΙ!AW17,pin!$D$89:$T$89,0))-INDEX(pin!$D$90:$T$108,MATCH(ΥΠΟΛΟΓΙΣΜΟΙ!BV17,pin!$B$90:$B$108,0),MATCH(ΥΠΟΛΟΓΙΣΜΟΙ!AW17,pin!$D$89:$T$89,0)))</f>
        <v>1</v>
      </c>
      <c r="BX17" s="203">
        <f>INDEX(pin!$D$90:$T$108,MATCH(ΥΠΟΛΟΓΙΣΜΟΙ!BU17,pin!$B$90:$B$108,0),MATCH(ΥΠΟΛΟΓΙΣΜΟΙ!AX17,pin!$D$89:$T$89,0))+0.2*(BU17-AI17)*(INDEX(pin!$D$90:$T$108,MATCH(ΥΠΟΛΟΓΙΣΜΟΙ!BU17,pin!$B$90:$B$108,0),MATCH(ΥΠΟΛΟΓΙΣΜΟΙ!AX17,pin!$D$89:$T$89,0))-INDEX(pin!$D$90:$T$108,MATCH(ΥΠΟΛΟΓΙΣΜΟΙ!BV17,pin!$B$90:$B$108,0),MATCH(ΥΠΟΛΟΓΙΣΜΟΙ!AX17,pin!$D$89:$T$89,0)))</f>
        <v>1</v>
      </c>
      <c r="BY17" s="188">
        <f>INDEX(pin!$X$90:$AN$108,MATCH(ΥΠΟΛΟΓΙΣΜΟΙ!BU17,pin!$V$90:$V$108,0),MATCH(ΥΠΟΛΟΓΙΣΜΟΙ!AW17,pin!$X$89:$AN$89,0))+0.2*(BU17-AI17)*(INDEX(pin!$X$90:$AN$108,MATCH(ΥΠΟΛΟΓΙΣΜΟΙ!BU17,pin!$V$90:$V$108,0),MATCH(ΥΠΟΛΟΓΙΣΜΟΙ!AW17,pin!$X$89:$AN$89,0))-INDEX(pin!$X$90:$AN$108,MATCH(ΥΠΟΛΟΓΙΣΜΟΙ!BV17,pin!$V$90:$V$108,0),MATCH(ΥΠΟΛΟΓΙΣΜΟΙ!AW17,pin!$X$89:$AN$89,0)))</f>
        <v>1</v>
      </c>
      <c r="BZ17" s="203">
        <f>INDEX(pin!$X$90:$AN$108,MATCH(ΥΠΟΛΟΓΙΣΜΟΙ!BU17,pin!$V$90:$V$108,0),MATCH(ΥΠΟΛΟΓΙΣΜΟΙ!AX17,pin!$X$89:$AN$89,0))+0.2*(BU17-AI17)*(INDEX(pin!$X$90:$AN$108,MATCH(ΥΠΟΛΟΓΙΣΜΟΙ!BU17,pin!$V$90:$V$108,0),MATCH(ΥΠΟΛΟΓΙΣΜΟΙ!AX17,pin!$X$89:$AN$89,0))-INDEX(pin!$X$90:$AN$108,MATCH(ΥΠΟΛΟΓΙΣΜΟΙ!BV17,pin!$V$90:$V$108,0),MATCH(ΥΠΟΛΟΓΙΣΜΟΙ!AX17,pin!$X$89:$AN$89,0)))</f>
        <v>1</v>
      </c>
      <c r="CA17" s="191"/>
      <c r="DO17" s="32" t="s">
        <v>677</v>
      </c>
    </row>
    <row r="18" spans="1:119">
      <c r="A18" s="56">
        <v>2</v>
      </c>
      <c r="B18" s="118"/>
      <c r="C18" s="116"/>
      <c r="D18" s="116"/>
      <c r="E18" s="47" t="str">
        <f t="shared" ref="E18:E29" si="1">IF(C18=0,"-",IF(C18&gt;0,C18*D18,-1*C18*D18))</f>
        <v>-</v>
      </c>
      <c r="F18" s="116"/>
      <c r="G18" s="239" t="str">
        <f t="shared" ref="G18:G29" si="2">IFERROR(E18-F18,"-")</f>
        <v>-</v>
      </c>
      <c r="H18" s="240"/>
      <c r="I18" s="116"/>
      <c r="J18" s="116"/>
      <c r="K18" s="236" t="str">
        <f t="shared" ref="K18:K29" si="3">IF(C18&gt;0,IFERROR(((I18*(G18-H18*E18*0.01)+J18*H18*E18*0.01)/G18)+IF(N18="Πόρτα",0,IF($N$9="ΝΑΙ",0.2,0)),"-"),IF($N$8="κτιριακη μοναδα",IFERROR(0.5*((I18*(G18-H18*E18*0.01)+J18*H18*E18*0.01)/G18+IF(N18="Πόρτα",0,IF($N$9="ΝΑΙ",0.2,0))),"-"),IFERROR((I18*(G18-H18*E18*0.01)+J18*H18*E18*0.01)/G18+IF(N18="Πόρτα",0,IF($N$9="ΝΑΙ",0.2,0)),"-")))</f>
        <v>-</v>
      </c>
      <c r="L18" s="235"/>
      <c r="M18" s="235"/>
      <c r="N18" s="529" t="s">
        <v>671</v>
      </c>
      <c r="O18" s="46">
        <f t="shared" ref="O18:O29" si="4">IF(L18=-1,0,IF(C18&gt;=0,IF(K18&gt;0.6,BA18+0.0444*(L18-AW18)*(BB18-BA18),1),0))</f>
        <v>1</v>
      </c>
      <c r="P18" s="120">
        <f>IF(L18=-1,0,IF(C18&gt;=0,IF(K18&gt;0.6,BC18+0.0444*(L18-AW18)*(BD18-BC18),1),0))</f>
        <v>1</v>
      </c>
      <c r="Q18" s="46">
        <f t="shared" ref="Q18:Q29" si="5">IF(L18=-1,0,IF(C18&gt;=0,IF(K18&gt;0.6,BG18+0.0444*(L18-AW18)*(BH18-BG18),0.9),0))</f>
        <v>1</v>
      </c>
      <c r="R18" s="120">
        <f t="shared" ref="R18:R29" si="6">IF(L18=-1,0,IF(C18&gt;=0,IF(K18&gt;0.6,IF(AG18=0,BI18+0.0444*(L18-AW18)*(BJ18-BI18),BM18+0.0444*(L18-AW18)*(BN18-BM18)),0.9),0))</f>
        <v>1</v>
      </c>
      <c r="S18" s="46">
        <f t="shared" ref="S18:S29" si="7">IF(L18=-1,0,IF(C18&gt;=0,IF(K18&gt;0.6,AJ18*AL18,1),0))</f>
        <v>1</v>
      </c>
      <c r="T18" s="120">
        <f t="shared" ref="T18:T29" si="8">IF(L18=-1,0,IF(C18&gt;=0,IF(K18&gt;0.6,AK18*AM18,1),0))</f>
        <v>1</v>
      </c>
      <c r="U18" s="121"/>
      <c r="V18" s="122"/>
      <c r="W18" s="116"/>
      <c r="X18" s="117"/>
      <c r="Y18" s="163"/>
      <c r="Z18" s="122"/>
      <c r="AA18" s="116"/>
      <c r="AB18" s="116"/>
      <c r="AC18" s="121"/>
      <c r="AD18" s="117"/>
      <c r="AE18" s="204">
        <f t="shared" si="0"/>
        <v>0</v>
      </c>
      <c r="AF18" s="180">
        <f t="shared" ref="AF18:AF29" si="9">IFERROR(DEGREES(ATAN(W18/X18)),0)</f>
        <v>0</v>
      </c>
      <c r="AG18" s="180">
        <f t="shared" ref="AG18:AG29" si="10">IF(Y18&gt;0,IF((Z18-X18)&gt;0,DEGREES(ATAN(Y18/(Z18-X18))),90),0)</f>
        <v>0</v>
      </c>
      <c r="AH18" s="180">
        <f t="shared" ref="AH18:AH29" si="11">IFERROR(DEGREES(ATAN(AA18/AB18)),0)</f>
        <v>0</v>
      </c>
      <c r="AI18" s="180">
        <f t="shared" ref="AI18:AI29" si="12">IFERROR(DEGREES(ATAN(AC18/AD18)),0)</f>
        <v>0</v>
      </c>
      <c r="AJ18" s="181">
        <f t="shared" ref="AJ18:AJ29" si="13">BQ18+0.0444*(L18-AW18)*(BR18-BQ18)</f>
        <v>1</v>
      </c>
      <c r="AK18" s="181">
        <f t="shared" ref="AK18:AK29" si="14">BS18+0.0444*(L18-AW18)*(BT18-BS18)</f>
        <v>1</v>
      </c>
      <c r="AL18" s="181">
        <f t="shared" ref="AL18:AL29" si="15">BW18+0.0444*(L18-AW18)*(BX18-BW18)</f>
        <v>1</v>
      </c>
      <c r="AM18" s="181">
        <f t="shared" ref="AM18:AM29" si="16">BY18+0.0444*(L18-AW18)*(BZ18-BY18)</f>
        <v>1</v>
      </c>
      <c r="AN18" s="187">
        <f t="shared" ref="AN18:AN29" si="17">IF(L18=-1,"-",MROUND(L18, 22.5))</f>
        <v>0</v>
      </c>
      <c r="AO18" s="188"/>
      <c r="AP18" s="188"/>
      <c r="AQ18" s="188"/>
      <c r="AR18" s="188"/>
      <c r="AS18" s="188"/>
      <c r="AT18" s="188"/>
      <c r="AU18" s="188"/>
      <c r="AV18" s="188" t="s">
        <v>256</v>
      </c>
      <c r="AW18" s="188">
        <f t="shared" ref="AW18:AW29" si="18">IF(AN18-L18&lt;=0,AN18,AN18-22.5)</f>
        <v>0</v>
      </c>
      <c r="AX18" s="203">
        <f t="shared" ref="AX18:AX29" si="19">IF(AN18-L18=0,AN18,AW18+22.5)</f>
        <v>0</v>
      </c>
      <c r="AY18" s="187">
        <f t="shared" ref="AY18:AY29" si="20">IF(MROUND(AE18,2.5)-AE18&lt;=0,MROUND(AE18,2.5),MROUND(AE18,2.5)-2.5)</f>
        <v>0</v>
      </c>
      <c r="AZ18" s="188">
        <f t="shared" ref="AZ18:AZ29" si="21">IF(MROUND(AE18,2.5)-AE18=0,MROUND(AE18,2.5),AY18+2.5)</f>
        <v>0</v>
      </c>
      <c r="BA18" s="188">
        <f>INDEX(pin!$D$6:$T$42,MATCH(ΥΠΟΛΟΓΙΣΜΟΙ!AY18,pin!$B$6:$B$42,0),MATCH(ΥΠΟΛΟΓΙΣΜΟΙ!AW18,pin!$D$5:$T$5,0))+0.4*(AY18-AE18)*(INDEX(pin!$D$6:$T$42,MATCH(ΥΠΟΛΟΓΙΣΜΟΙ!AY18,pin!$B$6:$B$42,0),MATCH(ΥΠΟΛΟΓΙΣΜΟΙ!AW18,pin!$D$5:$T$5,0))-INDEX(pin!$D$6:$T$42,MATCH(ΥΠΟΛΟΓΙΣΜΟΙ!AZ18,pin!$B$6:$B$42,0),MATCH(ΥΠΟΛΟΓΙΣΜΟΙ!AW18,pin!$D$5:$T$5,0)))</f>
        <v>1</v>
      </c>
      <c r="BB18" s="203">
        <f>INDEX(pin!$D$6:$T$42,MATCH(ΥΠΟΛΟΓΙΣΜΟΙ!AY18,pin!$B$6:$B$42,0),MATCH(ΥΠΟΛΟΓΙΣΜΟΙ!AX18,pin!$D$5:$T$5,0))+0.4*(AY18-AE18)*(INDEX(pin!$D$6:$T$42,MATCH(ΥΠΟΛΟΓΙΣΜΟΙ!AY18,pin!$B$6:$B$42,0),MATCH(ΥΠΟΛΟΓΙΣΜΟΙ!AX18,pin!$D$5:$T$5,0))-INDEX(pin!$D$6:$T$42,MATCH(ΥΠΟΛΟΓΙΣΜΟΙ!AZ18,pin!$B$6:$B$42,0),MATCH(ΥΠΟΛΟΓΙΣΜΟΙ!AX18,pin!$D$5:$T$5,0)))</f>
        <v>1</v>
      </c>
      <c r="BC18" s="188">
        <f>INDEX(pin!$X$6:$AN$42,MATCH(ΥΠΟΛΟΓΙΣΜΟΙ!AY18,pin!$V$6:$V$42,0),MATCH(ΥΠΟΛΟΓΙΣΜΟΙ!AW18,pin!$X$5:$AN$5,0))+0.4*(AY18-AE18)*(INDEX(pin!$X$6:$AN$42,MATCH(ΥΠΟΛΟΓΙΣΜΟΙ!AY18,pin!$V$6:$V$42,0),MATCH(ΥΠΟΛΟΓΙΣΜΟΙ!AW18,pin!$X$5:$AN$5,0))-INDEX(pin!$X$6:$AN$42,MATCH(ΥΠΟΛΟΓΙΣΜΟΙ!AZ18,pin!$V$6:$V$42,0),MATCH(ΥΠΟΛΟΓΙΣΜΟΙ!AW18,pin!$X$5:$AN$5,0)))</f>
        <v>1</v>
      </c>
      <c r="BD18" s="188">
        <f>INDEX(pin!$X$6:$AN$42,MATCH(ΥΠΟΛΟΓΙΣΜΟΙ!AY18,pin!$V$6:$V$42,0),MATCH(ΥΠΟΛΟΓΙΣΜΟΙ!AX18,pin!$X$5:$AN$5,0))+0.4*(AY18-AE18)*(INDEX(pin!$X$6:$AN$42,MATCH(ΥΠΟΛΟΓΙΣΜΟΙ!AY18,pin!$V$6:$V$42,0),MATCH(ΥΠΟΛΟΓΙΣΜΟΙ!AX18,pin!$X$5:$AN$5,0))-INDEX(pin!$X$6:$AN$42,MATCH(ΥΠΟΛΟΓΙΣΜΟΙ!AZ18,pin!$V$6:$V$42,0),MATCH(ΥΠΟΛΟΓΙΣΜΟΙ!AX18,pin!$X$5:$AN$5,0)))</f>
        <v>1</v>
      </c>
      <c r="BE18" s="187">
        <f t="shared" ref="BE18:BE29" si="22">IF(MROUND(AF18,2.5)-AF18&lt;=0,MROUND(AF18,2.5),MROUND(AF18,2.5)-2.5)</f>
        <v>0</v>
      </c>
      <c r="BF18" s="188">
        <f t="shared" ref="BF18:BF29" si="23">IF(MROUND(AF18,2.5)-AF18=0,MROUND(AF18,2.5),BE18+2.5)</f>
        <v>0</v>
      </c>
      <c r="BG18" s="188">
        <f>INDEX(pin!$D$48:$T$84,MATCH(ΥΠΟΛΟΓΙΣΜΟΙ!BE18,pin!$B$48:$B$84,0),MATCH(ΥΠΟΛΟΓΙΣΜΟΙ!AW18,pin!$D$47:$T$47,0))+0.4*(BE18-AF18)*(INDEX(pin!$D$48:$T$84,MATCH(ΥΠΟΛΟΓΙΣΜΟΙ!BE18,pin!$B$48:$B$84,0),MATCH(ΥΠΟΛΟΓΙΣΜΟΙ!AW18,pin!$D$47:$T$47,0))-INDEX(pin!$D$48:$T$84,MATCH(ΥΠΟΛΟΓΙΣΜΟΙ!BF18,pin!$B$48:$B$84,0),MATCH(ΥΠΟΛΟΓΙΣΜΟΙ!AW18,pin!$D$47:$T$47,0)))</f>
        <v>1</v>
      </c>
      <c r="BH18" s="188">
        <f>INDEX(pin!$D$48:$T$84,MATCH(ΥΠΟΛΟΓΙΣΜΟΙ!BE18,pin!$B$48:$B$84,0),MATCH(ΥΠΟΛΟΓΙΣΜΟΙ!AX18,pin!$D$47:$T$47,0))+0.4*(BE18-AF18)*(INDEX(pin!$D$48:$T$84,MATCH(ΥΠΟΛΟΓΙΣΜΟΙ!BE18,pin!$B$48:$B$84,0),MATCH(ΥΠΟΛΟΓΙΣΜΟΙ!AX18,pin!$D$47:$T$47,0))-INDEX(pin!$D$48:$T$84,MATCH(ΥΠΟΛΟΓΙΣΜΟΙ!BF18,pin!$B$48:$B$84,0),MATCH(ΥΠΟΛΟΓΙΣΜΟΙ!AX18,pin!$D$47:$T$47,0)))</f>
        <v>1</v>
      </c>
      <c r="BI18" s="187">
        <f>INDEX(pin!$X$48:$AN$84,MATCH(ΥΠΟΛΟΓΙΣΜΟΙ!BE18,pin!$V$48:$V$84,0),MATCH(ΥΠΟΛΟΓΙΣΜΟΙ!AW18,pin!$X$47:$AN$47,0))+0.4*(BE18-AF18)*(INDEX(pin!$X$48:$AN$84,MATCH(ΥΠΟΛΟΓΙΣΜΟΙ!BE18,pin!$V$48:$V$84,0),MATCH(ΥΠΟΛΟΓΙΣΜΟΙ!AW18,pin!$X$47:$AN$47,0))-INDEX(pin!$X$48:$AN$84,MATCH(ΥΠΟΛΟΓΙΣΜΟΙ!BF18,pin!$V$48:$V$84,0),MATCH(ΥΠΟΛΟΓΙΣΜΟΙ!AW18,pin!$X$47:$AN$47,0)))</f>
        <v>1</v>
      </c>
      <c r="BJ18" s="203">
        <f>INDEX(pin!$X$48:$AN$84,MATCH(ΥΠΟΛΟΓΙΣΜΟΙ!BE18,pin!$V$48:$V$84,0),MATCH(ΥΠΟΛΟΓΙΣΜΟΙ!AX18,pin!$X$47:$AN$47,0))+0.4*(BE18-AF18)*(INDEX(pin!$X$48:$AN$84,MATCH(ΥΠΟΛΟΓΙΣΜΟΙ!BE18,pin!$V$48:$V$84,0),MATCH(ΥΠΟΛΟΓΙΣΜΟΙ!AX18,pin!$X$47:$AN$47,0))-INDEX(pin!$X$48:$AN$84,MATCH(ΥΠΟΛΟΓΙΣΜΟΙ!BF18,pin!$V$48:$V$84,0),MATCH(ΥΠΟΛΟΓΙΣΜΟΙ!AX18,pin!$X$47:$AN$47,0)))</f>
        <v>1</v>
      </c>
      <c r="BK18" s="187">
        <f t="shared" ref="BK18:BK29" si="24">IF(MROUND(AG18,2.5)-AG18&lt;=0,MROUND(AG18,2.5),MROUND(AG18,2.5)-2.5)</f>
        <v>0</v>
      </c>
      <c r="BL18" s="188">
        <f t="shared" ref="BL18:BL29" si="25">IF(MROUND(AG18,2.5)-AG18=0,MROUND(AG18,2.5),BK18+2.5)</f>
        <v>0</v>
      </c>
      <c r="BM18" s="188">
        <f>INDEX(pin!$X$48:$AN$84,MATCH(ΥΠΟΛΟΓΙΣΜΟΙ!BK18,pin!$V$48:$V$84,0),MATCH(ΥΠΟΛΟΓΙΣΜΟΙ!AW18,pin!$X$47:$AN$47,0))+0.4*(BK18-AG18)*(INDEX(pin!$X$48:$AN$84,MATCH(ΥΠΟΛΟΓΙΣΜΟΙ!BK18,pin!$V$48:$V$84,0),MATCH(ΥΠΟΛΟΓΙΣΜΟΙ!AW18,pin!$X$47:$AN$47,0))-INDEX(pin!$X$48:$AN$84,MATCH(ΥΠΟΛΟΓΙΣΜΟΙ!BL18,pin!$V$48:$V$84,0),MATCH(ΥΠΟΛΟΓΙΣΜΟΙ!AW18,pin!$X$47:$AN$47,0)))</f>
        <v>1</v>
      </c>
      <c r="BN18" s="203">
        <f>INDEX(pin!$X$48:$AN$84,MATCH(ΥΠΟΛΟΓΙΣΜΟΙ!BK18,pin!$V$48:$V$84,0),MATCH(ΥΠΟΛΟΓΙΣΜΟΙ!AX18,pin!$X$47:$AN$47,0))+0.4*(BK18-AG18)*(INDEX(pin!$X$48:$AN$84,MATCH(ΥΠΟΛΟΓΙΣΜΟΙ!BK18,pin!$V$48:$V$84,0),MATCH(ΥΠΟΛΟΓΙΣΜΟΙ!AX18,pin!$X$47:$AN$47,0))-INDEX(pin!$X$48:$AN$84,MATCH(ΥΠΟΛΟΓΙΣΜΟΙ!BL18,pin!$V$48:$V$84,0),MATCH(ΥΠΟΛΟΓΙΣΜΟΙ!AX18,pin!$X$47:$AN$47,0)))</f>
        <v>1</v>
      </c>
      <c r="BO18" s="187">
        <f t="shared" ref="BO18:BO29" si="26">IF(MROUND(AH18,5)-AH18&lt;=0,MROUND(AH18,5),MROUND(AH18,5)-5)</f>
        <v>0</v>
      </c>
      <c r="BP18" s="188">
        <f t="shared" ref="BP18:BP29" si="27">IF(MROUND(AH18,5)-AH18=0,MROUND(AH18,5),BO18+5)</f>
        <v>0</v>
      </c>
      <c r="BQ18" s="188">
        <f>INDEX(pin!$D$114:$T$132,MATCH(ΥΠΟΛΟΓΙΣΜΟΙ!BO18,pin!$B$114:$B$132,0),MATCH(ΥΠΟΛΟΓΙΣΜΟΙ!AW18,pin!$D$113:$T$113,0))+0.2*(BO18-AH18)*(INDEX(pin!$D$114:$T$132,MATCH(ΥΠΟΛΟΓΙΣΜΟΙ!BO18,pin!$B$114:$B$132,0),MATCH(ΥΠΟΛΟΓΙΣΜΟΙ!AW18,pin!$D$113:$T$113,0))-INDEX(pin!$D$114:$T$132,MATCH(ΥΠΟΛΟΓΙΣΜΟΙ!BP18,pin!$B$114:$B$132,0),MATCH(ΥΠΟΛΟΓΙΣΜΟΙ!AW18,pin!$D$113:$T$113,0)))</f>
        <v>1</v>
      </c>
      <c r="BR18" s="188">
        <f>INDEX(pin!$D$114:$T$132,MATCH(ΥΠΟΛΟΓΙΣΜΟΙ!BO18,pin!$B$114:$B$132,0),MATCH(ΥΠΟΛΟΓΙΣΜΟΙ!AX18,pin!$D$113:$T$113,0))+0.2*(BO18-AH18)*(INDEX(pin!$D$114:$T$132,MATCH(ΥΠΟΛΟΓΙΣΜΟΙ!BO18,pin!$B$114:$B$132,0),MATCH(ΥΠΟΛΟΓΙΣΜΟΙ!AX18,pin!$D$113:$T$113,0))-INDEX(pin!$D$114:$T$132,MATCH(ΥΠΟΛΟΓΙΣΜΟΙ!BP18,pin!$B$114:$B$132,0),MATCH(ΥΠΟΛΟΓΙΣΜΟΙ!AX18,pin!$D$113:$T$113,0)))</f>
        <v>1</v>
      </c>
      <c r="BS18" s="187">
        <f>INDEX(pin!$X$114:$AN$132,MATCH(ΥΠΟΛΟΓΙΣΜΟΙ!BO18,pin!$V$114:$V$132,0),MATCH(ΥΠΟΛΟΓΙΣΜΟΙ!AW18,pin!$X$113:$AN$113,0))+0.2*(BO18-AH18)*(INDEX(pin!$X$114:$AN$132,MATCH(ΥΠΟΛΟΓΙΣΜΟΙ!BO18,pin!$V$114:$V$132,0),MATCH(ΥΠΟΛΟΓΙΣΜΟΙ!AW18,pin!$X$113:$AN$113,0))-INDEX(pin!$X$114:$AN$132,MATCH(ΥΠΟΛΟΓΙΣΜΟΙ!BP18,pin!$V$114:$V$132,0),MATCH(ΥΠΟΛΟΓΙΣΜΟΙ!AW18,pin!$X$113:$AN$113,0)))</f>
        <v>1</v>
      </c>
      <c r="BT18" s="203">
        <f>INDEX(pin!$X$114:$AN$132,MATCH(ΥΠΟΛΟΓΙΣΜΟΙ!BO18,pin!$V$114:$V$132,0),MATCH(ΥΠΟΛΟΓΙΣΜΟΙ!AX18,pin!$X$113:$AN$113,0))+0.2*(BO18-AH18)*(INDEX(pin!$X$114:$AN$132,MATCH(ΥΠΟΛΟΓΙΣΜΟΙ!BO18,pin!$V$114:$V$132,0),MATCH(ΥΠΟΛΟΓΙΣΜΟΙ!AX18,pin!$X$113:$AN$113,0))-INDEX(pin!$X$114:$AN$132,MATCH(ΥΠΟΛΟΓΙΣΜΟΙ!BP18,pin!$V$114:$V$132,0),MATCH(ΥΠΟΛΟΓΙΣΜΟΙ!AX18,pin!$X$113:$AN$113,0)))</f>
        <v>1</v>
      </c>
      <c r="BU18" s="187">
        <f t="shared" ref="BU18:BU29" si="28">IF(MROUND(AI18,5)-AI18&lt;=0,MROUND(AI18,5),MROUND(AI18,5)-5)</f>
        <v>0</v>
      </c>
      <c r="BV18" s="188">
        <f t="shared" ref="BV18:BV29" si="29">IF(MROUND(AI18,5)-AI18=0,MROUND(AI18,5),BU18+5)</f>
        <v>0</v>
      </c>
      <c r="BW18" s="188">
        <f>INDEX(pin!$D$90:$T$108,MATCH(ΥΠΟΛΟΓΙΣΜΟΙ!BU18,pin!$B$90:$B$108,0),MATCH(ΥΠΟΛΟΓΙΣΜΟΙ!AW18,pin!$D$89:$T$89,0))+0.2*(BU18-AI18)*(INDEX(pin!$D$90:$T$108,MATCH(ΥΠΟΛΟΓΙΣΜΟΙ!BU18,pin!$B$90:$B$108,0),MATCH(ΥΠΟΛΟΓΙΣΜΟΙ!AW18,pin!$D$89:$T$89,0))-INDEX(pin!$D$90:$T$108,MATCH(ΥΠΟΛΟΓΙΣΜΟΙ!BV18,pin!$B$90:$B$108,0),MATCH(ΥΠΟΛΟΓΙΣΜΟΙ!AW18,pin!$D$89:$T$89,0)))</f>
        <v>1</v>
      </c>
      <c r="BX18" s="203">
        <f>INDEX(pin!$D$90:$T$108,MATCH(ΥΠΟΛΟΓΙΣΜΟΙ!BU18,pin!$B$90:$B$108,0),MATCH(ΥΠΟΛΟΓΙΣΜΟΙ!AX18,pin!$D$89:$T$89,0))+0.2*(BU18-AI18)*(INDEX(pin!$D$90:$T$108,MATCH(ΥΠΟΛΟΓΙΣΜΟΙ!BU18,pin!$B$90:$B$108,0),MATCH(ΥΠΟΛΟΓΙΣΜΟΙ!AX18,pin!$D$89:$T$89,0))-INDEX(pin!$D$90:$T$108,MATCH(ΥΠΟΛΟΓΙΣΜΟΙ!BV18,pin!$B$90:$B$108,0),MATCH(ΥΠΟΛΟΓΙΣΜΟΙ!AX18,pin!$D$89:$T$89,0)))</f>
        <v>1</v>
      </c>
      <c r="BY18" s="188">
        <f>INDEX(pin!$X$90:$AN$108,MATCH(ΥΠΟΛΟΓΙΣΜΟΙ!BU18,pin!$V$90:$V$108,0),MATCH(ΥΠΟΛΟΓΙΣΜΟΙ!AW18,pin!$X$89:$AN$89,0))+0.2*(BU18-AI18)*(INDEX(pin!$X$90:$AN$108,MATCH(ΥΠΟΛΟΓΙΣΜΟΙ!BU18,pin!$V$90:$V$108,0),MATCH(ΥΠΟΛΟΓΙΣΜΟΙ!AW18,pin!$X$89:$AN$89,0))-INDEX(pin!$X$90:$AN$108,MATCH(ΥΠΟΛΟΓΙΣΜΟΙ!BV18,pin!$V$90:$V$108,0),MATCH(ΥΠΟΛΟΓΙΣΜΟΙ!AW18,pin!$X$89:$AN$89,0)))</f>
        <v>1</v>
      </c>
      <c r="BZ18" s="203">
        <f>INDEX(pin!$X$90:$AN$108,MATCH(ΥΠΟΛΟΓΙΣΜΟΙ!BU18,pin!$V$90:$V$108,0),MATCH(ΥΠΟΛΟΓΙΣΜΟΙ!AX18,pin!$X$89:$AN$89,0))+0.2*(BU18-AI18)*(INDEX(pin!$X$90:$AN$108,MATCH(ΥΠΟΛΟΓΙΣΜΟΙ!BU18,pin!$V$90:$V$108,0),MATCH(ΥΠΟΛΟΓΙΣΜΟΙ!AX18,pin!$X$89:$AN$89,0))-INDEX(pin!$X$90:$AN$108,MATCH(ΥΠΟΛΟΓΙΣΜΟΙ!BV18,pin!$V$90:$V$108,0),MATCH(ΥΠΟΛΟΓΙΣΜΟΙ!AX18,pin!$X$89:$AN$89,0)))</f>
        <v>1</v>
      </c>
      <c r="CA18" s="191"/>
      <c r="DO18" s="32" t="s">
        <v>678</v>
      </c>
    </row>
    <row r="19" spans="1:119">
      <c r="A19" s="56">
        <v>3</v>
      </c>
      <c r="B19" s="118"/>
      <c r="C19" s="116"/>
      <c r="D19" s="116"/>
      <c r="E19" s="47" t="str">
        <f t="shared" si="1"/>
        <v>-</v>
      </c>
      <c r="F19" s="116"/>
      <c r="G19" s="239" t="str">
        <f t="shared" si="2"/>
        <v>-</v>
      </c>
      <c r="H19" s="240"/>
      <c r="I19" s="116"/>
      <c r="J19" s="116"/>
      <c r="K19" s="236" t="str">
        <f t="shared" si="3"/>
        <v>-</v>
      </c>
      <c r="L19" s="235"/>
      <c r="M19" s="235"/>
      <c r="N19" s="529" t="s">
        <v>671</v>
      </c>
      <c r="O19" s="46">
        <f t="shared" si="4"/>
        <v>1</v>
      </c>
      <c r="P19" s="120">
        <f t="shared" ref="P19:P29" si="30">IF(L19=-1,0,IF(C19&gt;=0,IF(K19&gt;0.6,BC19+0.0444*(L19-AW19)*(BD19-BC19),1),0))</f>
        <v>1</v>
      </c>
      <c r="Q19" s="46">
        <f t="shared" si="5"/>
        <v>1</v>
      </c>
      <c r="R19" s="120">
        <f t="shared" si="6"/>
        <v>1</v>
      </c>
      <c r="S19" s="46">
        <f t="shared" si="7"/>
        <v>1</v>
      </c>
      <c r="T19" s="120">
        <f t="shared" si="8"/>
        <v>1</v>
      </c>
      <c r="U19" s="121"/>
      <c r="V19" s="122"/>
      <c r="W19" s="116"/>
      <c r="X19" s="117"/>
      <c r="Y19" s="163"/>
      <c r="Z19" s="122"/>
      <c r="AA19" s="116"/>
      <c r="AB19" s="116"/>
      <c r="AC19" s="121"/>
      <c r="AD19" s="117"/>
      <c r="AE19" s="204">
        <f t="shared" si="0"/>
        <v>0</v>
      </c>
      <c r="AF19" s="180">
        <f t="shared" si="9"/>
        <v>0</v>
      </c>
      <c r="AG19" s="180">
        <f t="shared" si="10"/>
        <v>0</v>
      </c>
      <c r="AH19" s="180">
        <f t="shared" si="11"/>
        <v>0</v>
      </c>
      <c r="AI19" s="180">
        <f t="shared" si="12"/>
        <v>0</v>
      </c>
      <c r="AJ19" s="181">
        <f t="shared" si="13"/>
        <v>1</v>
      </c>
      <c r="AK19" s="181">
        <f t="shared" si="14"/>
        <v>1</v>
      </c>
      <c r="AL19" s="181">
        <f t="shared" si="15"/>
        <v>1</v>
      </c>
      <c r="AM19" s="181">
        <f t="shared" si="16"/>
        <v>1</v>
      </c>
      <c r="AN19" s="187">
        <f t="shared" si="17"/>
        <v>0</v>
      </c>
      <c r="AO19" s="188"/>
      <c r="AP19" s="188"/>
      <c r="AQ19" s="188"/>
      <c r="AR19" s="188"/>
      <c r="AS19" s="188"/>
      <c r="AT19" s="188"/>
      <c r="AU19" s="188"/>
      <c r="AV19" s="188" t="s">
        <v>256</v>
      </c>
      <c r="AW19" s="188">
        <f t="shared" si="18"/>
        <v>0</v>
      </c>
      <c r="AX19" s="203">
        <f t="shared" si="19"/>
        <v>0</v>
      </c>
      <c r="AY19" s="187">
        <f t="shared" si="20"/>
        <v>0</v>
      </c>
      <c r="AZ19" s="188">
        <f t="shared" si="21"/>
        <v>0</v>
      </c>
      <c r="BA19" s="188">
        <f>INDEX(pin!$D$6:$T$42,MATCH(ΥΠΟΛΟΓΙΣΜΟΙ!AY19,pin!$B$6:$B$42,0),MATCH(ΥΠΟΛΟΓΙΣΜΟΙ!AW19,pin!$D$5:$T$5,0))+0.4*(AY19-AE19)*(INDEX(pin!$D$6:$T$42,MATCH(ΥΠΟΛΟΓΙΣΜΟΙ!AY19,pin!$B$6:$B$42,0),MATCH(ΥΠΟΛΟΓΙΣΜΟΙ!AW19,pin!$D$5:$T$5,0))-INDEX(pin!$D$6:$T$42,MATCH(ΥΠΟΛΟΓΙΣΜΟΙ!AZ19,pin!$B$6:$B$42,0),MATCH(ΥΠΟΛΟΓΙΣΜΟΙ!AW19,pin!$D$5:$T$5,0)))</f>
        <v>1</v>
      </c>
      <c r="BB19" s="203">
        <f>INDEX(pin!$D$6:$T$42,MATCH(ΥΠΟΛΟΓΙΣΜΟΙ!AY19,pin!$B$6:$B$42,0),MATCH(ΥΠΟΛΟΓΙΣΜΟΙ!AX19,pin!$D$5:$T$5,0))+0.4*(AY19-AE19)*(INDEX(pin!$D$6:$T$42,MATCH(ΥΠΟΛΟΓΙΣΜΟΙ!AY19,pin!$B$6:$B$42,0),MATCH(ΥΠΟΛΟΓΙΣΜΟΙ!AX19,pin!$D$5:$T$5,0))-INDEX(pin!$D$6:$T$42,MATCH(ΥΠΟΛΟΓΙΣΜΟΙ!AZ19,pin!$B$6:$B$42,0),MATCH(ΥΠΟΛΟΓΙΣΜΟΙ!AX19,pin!$D$5:$T$5,0)))</f>
        <v>1</v>
      </c>
      <c r="BC19" s="188">
        <f>INDEX(pin!$X$6:$AN$42,MATCH(ΥΠΟΛΟΓΙΣΜΟΙ!AY19,pin!$V$6:$V$42,0),MATCH(ΥΠΟΛΟΓΙΣΜΟΙ!AW19,pin!$X$5:$AN$5,0))+0.4*(AY19-AE19)*(INDEX(pin!$X$6:$AN$42,MATCH(ΥΠΟΛΟΓΙΣΜΟΙ!AY19,pin!$V$6:$V$42,0),MATCH(ΥΠΟΛΟΓΙΣΜΟΙ!AW19,pin!$X$5:$AN$5,0))-INDEX(pin!$X$6:$AN$42,MATCH(ΥΠΟΛΟΓΙΣΜΟΙ!AZ19,pin!$V$6:$V$42,0),MATCH(ΥΠΟΛΟΓΙΣΜΟΙ!AW19,pin!$X$5:$AN$5,0)))</f>
        <v>1</v>
      </c>
      <c r="BD19" s="188">
        <f>INDEX(pin!$X$6:$AN$42,MATCH(ΥΠΟΛΟΓΙΣΜΟΙ!AY19,pin!$V$6:$V$42,0),MATCH(ΥΠΟΛΟΓΙΣΜΟΙ!AX19,pin!$X$5:$AN$5,0))+0.4*(AY19-AE19)*(INDEX(pin!$X$6:$AN$42,MATCH(ΥΠΟΛΟΓΙΣΜΟΙ!AY19,pin!$V$6:$V$42,0),MATCH(ΥΠΟΛΟΓΙΣΜΟΙ!AX19,pin!$X$5:$AN$5,0))-INDEX(pin!$X$6:$AN$42,MATCH(ΥΠΟΛΟΓΙΣΜΟΙ!AZ19,pin!$V$6:$V$42,0),MATCH(ΥΠΟΛΟΓΙΣΜΟΙ!AX19,pin!$X$5:$AN$5,0)))</f>
        <v>1</v>
      </c>
      <c r="BE19" s="187">
        <f t="shared" si="22"/>
        <v>0</v>
      </c>
      <c r="BF19" s="188">
        <f t="shared" si="23"/>
        <v>0</v>
      </c>
      <c r="BG19" s="188">
        <f>INDEX(pin!$D$48:$T$84,MATCH(ΥΠΟΛΟΓΙΣΜΟΙ!BE19,pin!$B$48:$B$84,0),MATCH(ΥΠΟΛΟΓΙΣΜΟΙ!AW19,pin!$D$47:$T$47,0))+0.4*(BE19-AF19)*(INDEX(pin!$D$48:$T$84,MATCH(ΥΠΟΛΟΓΙΣΜΟΙ!BE19,pin!$B$48:$B$84,0),MATCH(ΥΠΟΛΟΓΙΣΜΟΙ!AW19,pin!$D$47:$T$47,0))-INDEX(pin!$D$48:$T$84,MATCH(ΥΠΟΛΟΓΙΣΜΟΙ!BF19,pin!$B$48:$B$84,0),MATCH(ΥΠΟΛΟΓΙΣΜΟΙ!AW19,pin!$D$47:$T$47,0)))</f>
        <v>1</v>
      </c>
      <c r="BH19" s="188">
        <f>INDEX(pin!$D$48:$T$84,MATCH(ΥΠΟΛΟΓΙΣΜΟΙ!BE19,pin!$B$48:$B$84,0),MATCH(ΥΠΟΛΟΓΙΣΜΟΙ!AX19,pin!$D$47:$T$47,0))+0.4*(BE19-AF19)*(INDEX(pin!$D$48:$T$84,MATCH(ΥΠΟΛΟΓΙΣΜΟΙ!BE19,pin!$B$48:$B$84,0),MATCH(ΥΠΟΛΟΓΙΣΜΟΙ!AX19,pin!$D$47:$T$47,0))-INDEX(pin!$D$48:$T$84,MATCH(ΥΠΟΛΟΓΙΣΜΟΙ!BF19,pin!$B$48:$B$84,0),MATCH(ΥΠΟΛΟΓΙΣΜΟΙ!AX19,pin!$D$47:$T$47,0)))</f>
        <v>1</v>
      </c>
      <c r="BI19" s="187">
        <f>INDEX(pin!$X$48:$AN$84,MATCH(ΥΠΟΛΟΓΙΣΜΟΙ!BE19,pin!$V$48:$V$84,0),MATCH(ΥΠΟΛΟΓΙΣΜΟΙ!AW19,pin!$X$47:$AN$47,0))+0.4*(BE19-AF19)*(INDEX(pin!$X$48:$AN$84,MATCH(ΥΠΟΛΟΓΙΣΜΟΙ!BE19,pin!$V$48:$V$84,0),MATCH(ΥΠΟΛΟΓΙΣΜΟΙ!AW19,pin!$X$47:$AN$47,0))-INDEX(pin!$X$48:$AN$84,MATCH(ΥΠΟΛΟΓΙΣΜΟΙ!BF19,pin!$V$48:$V$84,0),MATCH(ΥΠΟΛΟΓΙΣΜΟΙ!AW19,pin!$X$47:$AN$47,0)))</f>
        <v>1</v>
      </c>
      <c r="BJ19" s="203">
        <f>INDEX(pin!$X$48:$AN$84,MATCH(ΥΠΟΛΟΓΙΣΜΟΙ!BE19,pin!$V$48:$V$84,0),MATCH(ΥΠΟΛΟΓΙΣΜΟΙ!AX19,pin!$X$47:$AN$47,0))+0.4*(BE19-AF19)*(INDEX(pin!$X$48:$AN$84,MATCH(ΥΠΟΛΟΓΙΣΜΟΙ!BE19,pin!$V$48:$V$84,0),MATCH(ΥΠΟΛΟΓΙΣΜΟΙ!AX19,pin!$X$47:$AN$47,0))-INDEX(pin!$X$48:$AN$84,MATCH(ΥΠΟΛΟΓΙΣΜΟΙ!BF19,pin!$V$48:$V$84,0),MATCH(ΥΠΟΛΟΓΙΣΜΟΙ!AX19,pin!$X$47:$AN$47,0)))</f>
        <v>1</v>
      </c>
      <c r="BK19" s="187">
        <f t="shared" si="24"/>
        <v>0</v>
      </c>
      <c r="BL19" s="188">
        <f t="shared" si="25"/>
        <v>0</v>
      </c>
      <c r="BM19" s="188">
        <f>INDEX(pin!$X$48:$AN$84,MATCH(ΥΠΟΛΟΓΙΣΜΟΙ!BK19,pin!$V$48:$V$84,0),MATCH(ΥΠΟΛΟΓΙΣΜΟΙ!AW19,pin!$X$47:$AN$47,0))+0.4*(BK19-AG19)*(INDEX(pin!$X$48:$AN$84,MATCH(ΥΠΟΛΟΓΙΣΜΟΙ!BK19,pin!$V$48:$V$84,0),MATCH(ΥΠΟΛΟΓΙΣΜΟΙ!AW19,pin!$X$47:$AN$47,0))-INDEX(pin!$X$48:$AN$84,MATCH(ΥΠΟΛΟΓΙΣΜΟΙ!BL19,pin!$V$48:$V$84,0),MATCH(ΥΠΟΛΟΓΙΣΜΟΙ!AW19,pin!$X$47:$AN$47,0)))</f>
        <v>1</v>
      </c>
      <c r="BN19" s="203">
        <f>INDEX(pin!$X$48:$AN$84,MATCH(ΥΠΟΛΟΓΙΣΜΟΙ!BK19,pin!$V$48:$V$84,0),MATCH(ΥΠΟΛΟΓΙΣΜΟΙ!AX19,pin!$X$47:$AN$47,0))+0.4*(BK19-AG19)*(INDEX(pin!$X$48:$AN$84,MATCH(ΥΠΟΛΟΓΙΣΜΟΙ!BK19,pin!$V$48:$V$84,0),MATCH(ΥΠΟΛΟΓΙΣΜΟΙ!AX19,pin!$X$47:$AN$47,0))-INDEX(pin!$X$48:$AN$84,MATCH(ΥΠΟΛΟΓΙΣΜΟΙ!BL19,pin!$V$48:$V$84,0),MATCH(ΥΠΟΛΟΓΙΣΜΟΙ!AX19,pin!$X$47:$AN$47,0)))</f>
        <v>1</v>
      </c>
      <c r="BO19" s="187">
        <f t="shared" si="26"/>
        <v>0</v>
      </c>
      <c r="BP19" s="188">
        <f t="shared" si="27"/>
        <v>0</v>
      </c>
      <c r="BQ19" s="188">
        <f>INDEX(pin!$D$114:$T$132,MATCH(ΥΠΟΛΟΓΙΣΜΟΙ!BO19,pin!$B$114:$B$132,0),MATCH(ΥΠΟΛΟΓΙΣΜΟΙ!AW19,pin!$D$113:$T$113,0))+0.2*(BO19-AH19)*(INDEX(pin!$D$114:$T$132,MATCH(ΥΠΟΛΟΓΙΣΜΟΙ!BO19,pin!$B$114:$B$132,0),MATCH(ΥΠΟΛΟΓΙΣΜΟΙ!AW19,pin!$D$113:$T$113,0))-INDEX(pin!$D$114:$T$132,MATCH(ΥΠΟΛΟΓΙΣΜΟΙ!BP19,pin!$B$114:$B$132,0),MATCH(ΥΠΟΛΟΓΙΣΜΟΙ!AW19,pin!$D$113:$T$113,0)))</f>
        <v>1</v>
      </c>
      <c r="BR19" s="188">
        <f>INDEX(pin!$D$114:$T$132,MATCH(ΥΠΟΛΟΓΙΣΜΟΙ!BO19,pin!$B$114:$B$132,0),MATCH(ΥΠΟΛΟΓΙΣΜΟΙ!AX19,pin!$D$113:$T$113,0))+0.2*(BO19-AH19)*(INDEX(pin!$D$114:$T$132,MATCH(ΥΠΟΛΟΓΙΣΜΟΙ!BO19,pin!$B$114:$B$132,0),MATCH(ΥΠΟΛΟΓΙΣΜΟΙ!AX19,pin!$D$113:$T$113,0))-INDEX(pin!$D$114:$T$132,MATCH(ΥΠΟΛΟΓΙΣΜΟΙ!BP19,pin!$B$114:$B$132,0),MATCH(ΥΠΟΛΟΓΙΣΜΟΙ!AX19,pin!$D$113:$T$113,0)))</f>
        <v>1</v>
      </c>
      <c r="BS19" s="187">
        <f>INDEX(pin!$X$114:$AN$132,MATCH(ΥΠΟΛΟΓΙΣΜΟΙ!BO19,pin!$V$114:$V$132,0),MATCH(ΥΠΟΛΟΓΙΣΜΟΙ!AW19,pin!$X$113:$AN$113,0))+0.2*(BO19-AH19)*(INDEX(pin!$X$114:$AN$132,MATCH(ΥΠΟΛΟΓΙΣΜΟΙ!BO19,pin!$V$114:$V$132,0),MATCH(ΥΠΟΛΟΓΙΣΜΟΙ!AW19,pin!$X$113:$AN$113,0))-INDEX(pin!$X$114:$AN$132,MATCH(ΥΠΟΛΟΓΙΣΜΟΙ!BP19,pin!$V$114:$V$132,0),MATCH(ΥΠΟΛΟΓΙΣΜΟΙ!AW19,pin!$X$113:$AN$113,0)))</f>
        <v>1</v>
      </c>
      <c r="BT19" s="203">
        <f>INDEX(pin!$X$114:$AN$132,MATCH(ΥΠΟΛΟΓΙΣΜΟΙ!BO19,pin!$V$114:$V$132,0),MATCH(ΥΠΟΛΟΓΙΣΜΟΙ!AX19,pin!$X$113:$AN$113,0))+0.2*(BO19-AH19)*(INDEX(pin!$X$114:$AN$132,MATCH(ΥΠΟΛΟΓΙΣΜΟΙ!BO19,pin!$V$114:$V$132,0),MATCH(ΥΠΟΛΟΓΙΣΜΟΙ!AX19,pin!$X$113:$AN$113,0))-INDEX(pin!$X$114:$AN$132,MATCH(ΥΠΟΛΟΓΙΣΜΟΙ!BP19,pin!$V$114:$V$132,0),MATCH(ΥΠΟΛΟΓΙΣΜΟΙ!AX19,pin!$X$113:$AN$113,0)))</f>
        <v>1</v>
      </c>
      <c r="BU19" s="187">
        <f t="shared" si="28"/>
        <v>0</v>
      </c>
      <c r="BV19" s="188">
        <f t="shared" si="29"/>
        <v>0</v>
      </c>
      <c r="BW19" s="188">
        <f>INDEX(pin!$D$90:$T$108,MATCH(ΥΠΟΛΟΓΙΣΜΟΙ!BU19,pin!$B$90:$B$108,0),MATCH(ΥΠΟΛΟΓΙΣΜΟΙ!AW19,pin!$D$89:$T$89,0))+0.2*(BU19-AI19)*(INDEX(pin!$D$90:$T$108,MATCH(ΥΠΟΛΟΓΙΣΜΟΙ!BU19,pin!$B$90:$B$108,0),MATCH(ΥΠΟΛΟΓΙΣΜΟΙ!AW19,pin!$D$89:$T$89,0))-INDEX(pin!$D$90:$T$108,MATCH(ΥΠΟΛΟΓΙΣΜΟΙ!BV19,pin!$B$90:$B$108,0),MATCH(ΥΠΟΛΟΓΙΣΜΟΙ!AW19,pin!$D$89:$T$89,0)))</f>
        <v>1</v>
      </c>
      <c r="BX19" s="203">
        <f>INDEX(pin!$D$90:$T$108,MATCH(ΥΠΟΛΟΓΙΣΜΟΙ!BU19,pin!$B$90:$B$108,0),MATCH(ΥΠΟΛΟΓΙΣΜΟΙ!AX19,pin!$D$89:$T$89,0))+0.2*(BU19-AI19)*(INDEX(pin!$D$90:$T$108,MATCH(ΥΠΟΛΟΓΙΣΜΟΙ!BU19,pin!$B$90:$B$108,0),MATCH(ΥΠΟΛΟΓΙΣΜΟΙ!AX19,pin!$D$89:$T$89,0))-INDEX(pin!$D$90:$T$108,MATCH(ΥΠΟΛΟΓΙΣΜΟΙ!BV19,pin!$B$90:$B$108,0),MATCH(ΥΠΟΛΟΓΙΣΜΟΙ!AX19,pin!$D$89:$T$89,0)))</f>
        <v>1</v>
      </c>
      <c r="BY19" s="188">
        <f>INDEX(pin!$X$90:$AN$108,MATCH(ΥΠΟΛΟΓΙΣΜΟΙ!BU19,pin!$V$90:$V$108,0),MATCH(ΥΠΟΛΟΓΙΣΜΟΙ!AW19,pin!$X$89:$AN$89,0))+0.2*(BU19-AI19)*(INDEX(pin!$X$90:$AN$108,MATCH(ΥΠΟΛΟΓΙΣΜΟΙ!BU19,pin!$V$90:$V$108,0),MATCH(ΥΠΟΛΟΓΙΣΜΟΙ!AW19,pin!$X$89:$AN$89,0))-INDEX(pin!$X$90:$AN$108,MATCH(ΥΠΟΛΟΓΙΣΜΟΙ!BV19,pin!$V$90:$V$108,0),MATCH(ΥΠΟΛΟΓΙΣΜΟΙ!AW19,pin!$X$89:$AN$89,0)))</f>
        <v>1</v>
      </c>
      <c r="BZ19" s="203">
        <f>INDEX(pin!$X$90:$AN$108,MATCH(ΥΠΟΛΟΓΙΣΜΟΙ!BU19,pin!$V$90:$V$108,0),MATCH(ΥΠΟΛΟΓΙΣΜΟΙ!AX19,pin!$X$89:$AN$89,0))+0.2*(BU19-AI19)*(INDEX(pin!$X$90:$AN$108,MATCH(ΥΠΟΛΟΓΙΣΜΟΙ!BU19,pin!$V$90:$V$108,0),MATCH(ΥΠΟΛΟΓΙΣΜΟΙ!AX19,pin!$X$89:$AN$89,0))-INDEX(pin!$X$90:$AN$108,MATCH(ΥΠΟΛΟΓΙΣΜΟΙ!BV19,pin!$V$90:$V$108,0),MATCH(ΥΠΟΛΟΓΙΣΜΟΙ!AX19,pin!$X$89:$AN$89,0)))</f>
        <v>1</v>
      </c>
      <c r="CA19" s="191"/>
      <c r="DF19" s="231"/>
      <c r="DI19" s="231"/>
      <c r="DO19" s="32" t="s">
        <v>679</v>
      </c>
    </row>
    <row r="20" spans="1:119">
      <c r="A20" s="56">
        <v>4</v>
      </c>
      <c r="B20" s="118"/>
      <c r="C20" s="116"/>
      <c r="D20" s="116"/>
      <c r="E20" s="47" t="str">
        <f t="shared" si="1"/>
        <v>-</v>
      </c>
      <c r="F20" s="116"/>
      <c r="G20" s="239" t="str">
        <f t="shared" si="2"/>
        <v>-</v>
      </c>
      <c r="H20" s="240"/>
      <c r="I20" s="116"/>
      <c r="J20" s="116"/>
      <c r="K20" s="236" t="str">
        <f t="shared" si="3"/>
        <v>-</v>
      </c>
      <c r="L20" s="235"/>
      <c r="M20" s="235"/>
      <c r="N20" s="529" t="s">
        <v>671</v>
      </c>
      <c r="O20" s="46">
        <f t="shared" si="4"/>
        <v>1</v>
      </c>
      <c r="P20" s="120">
        <f t="shared" si="30"/>
        <v>1</v>
      </c>
      <c r="Q20" s="46">
        <f t="shared" si="5"/>
        <v>1</v>
      </c>
      <c r="R20" s="120">
        <f t="shared" si="6"/>
        <v>1</v>
      </c>
      <c r="S20" s="46">
        <f t="shared" si="7"/>
        <v>1</v>
      </c>
      <c r="T20" s="120">
        <f t="shared" si="8"/>
        <v>1</v>
      </c>
      <c r="U20" s="262"/>
      <c r="V20" s="122"/>
      <c r="W20" s="116"/>
      <c r="X20" s="117"/>
      <c r="Y20" s="163"/>
      <c r="Z20" s="122"/>
      <c r="AA20" s="116"/>
      <c r="AB20" s="116"/>
      <c r="AC20" s="121"/>
      <c r="AD20" s="117"/>
      <c r="AE20" s="204">
        <f t="shared" si="0"/>
        <v>0</v>
      </c>
      <c r="AF20" s="180">
        <f t="shared" si="9"/>
        <v>0</v>
      </c>
      <c r="AG20" s="180">
        <f t="shared" si="10"/>
        <v>0</v>
      </c>
      <c r="AH20" s="180">
        <f t="shared" si="11"/>
        <v>0</v>
      </c>
      <c r="AI20" s="180">
        <f t="shared" si="12"/>
        <v>0</v>
      </c>
      <c r="AJ20" s="181">
        <f t="shared" si="13"/>
        <v>1</v>
      </c>
      <c r="AK20" s="181">
        <f t="shared" si="14"/>
        <v>1</v>
      </c>
      <c r="AL20" s="181">
        <f t="shared" si="15"/>
        <v>1</v>
      </c>
      <c r="AM20" s="181">
        <f t="shared" si="16"/>
        <v>1</v>
      </c>
      <c r="AN20" s="187">
        <f t="shared" si="17"/>
        <v>0</v>
      </c>
      <c r="AO20" s="188"/>
      <c r="AP20" s="188"/>
      <c r="AQ20" s="188"/>
      <c r="AR20" s="188"/>
      <c r="AS20" s="188"/>
      <c r="AT20" s="188"/>
      <c r="AU20" s="188"/>
      <c r="AV20" s="188" t="s">
        <v>256</v>
      </c>
      <c r="AW20" s="188">
        <f t="shared" si="18"/>
        <v>0</v>
      </c>
      <c r="AX20" s="203">
        <f t="shared" si="19"/>
        <v>0</v>
      </c>
      <c r="AY20" s="187">
        <f t="shared" si="20"/>
        <v>0</v>
      </c>
      <c r="AZ20" s="188">
        <f t="shared" si="21"/>
        <v>0</v>
      </c>
      <c r="BA20" s="188">
        <f>INDEX(pin!$D$6:$T$42,MATCH(ΥΠΟΛΟΓΙΣΜΟΙ!AY20,pin!$B$6:$B$42,0),MATCH(ΥΠΟΛΟΓΙΣΜΟΙ!AW20,pin!$D$5:$T$5,0))+0.4*(AY20-AE20)*(INDEX(pin!$D$6:$T$42,MATCH(ΥΠΟΛΟΓΙΣΜΟΙ!AY20,pin!$B$6:$B$42,0),MATCH(ΥΠΟΛΟΓΙΣΜΟΙ!AW20,pin!$D$5:$T$5,0))-INDEX(pin!$D$6:$T$42,MATCH(ΥΠΟΛΟΓΙΣΜΟΙ!AZ20,pin!$B$6:$B$42,0),MATCH(ΥΠΟΛΟΓΙΣΜΟΙ!AW20,pin!$D$5:$T$5,0)))</f>
        <v>1</v>
      </c>
      <c r="BB20" s="203">
        <f>INDEX(pin!$D$6:$T$42,MATCH(ΥΠΟΛΟΓΙΣΜΟΙ!AY20,pin!$B$6:$B$42,0),MATCH(ΥΠΟΛΟΓΙΣΜΟΙ!AX20,pin!$D$5:$T$5,0))+0.4*(AY20-AE20)*(INDEX(pin!$D$6:$T$42,MATCH(ΥΠΟΛΟΓΙΣΜΟΙ!AY20,pin!$B$6:$B$42,0),MATCH(ΥΠΟΛΟΓΙΣΜΟΙ!AX20,pin!$D$5:$T$5,0))-INDEX(pin!$D$6:$T$42,MATCH(ΥΠΟΛΟΓΙΣΜΟΙ!AZ20,pin!$B$6:$B$42,0),MATCH(ΥΠΟΛΟΓΙΣΜΟΙ!AX20,pin!$D$5:$T$5,0)))</f>
        <v>1</v>
      </c>
      <c r="BC20" s="188">
        <f>INDEX(pin!$X$6:$AN$42,MATCH(ΥΠΟΛΟΓΙΣΜΟΙ!AY20,pin!$V$6:$V$42,0),MATCH(ΥΠΟΛΟΓΙΣΜΟΙ!AW20,pin!$X$5:$AN$5,0))+0.4*(AY20-AE20)*(INDEX(pin!$X$6:$AN$42,MATCH(ΥΠΟΛΟΓΙΣΜΟΙ!AY20,pin!$V$6:$V$42,0),MATCH(ΥΠΟΛΟΓΙΣΜΟΙ!AW20,pin!$X$5:$AN$5,0))-INDEX(pin!$X$6:$AN$42,MATCH(ΥΠΟΛΟΓΙΣΜΟΙ!AZ20,pin!$V$6:$V$42,0),MATCH(ΥΠΟΛΟΓΙΣΜΟΙ!AW20,pin!$X$5:$AN$5,0)))</f>
        <v>1</v>
      </c>
      <c r="BD20" s="188">
        <f>INDEX(pin!$X$6:$AN$42,MATCH(ΥΠΟΛΟΓΙΣΜΟΙ!AY20,pin!$V$6:$V$42,0),MATCH(ΥΠΟΛΟΓΙΣΜΟΙ!AX20,pin!$X$5:$AN$5,0))+0.4*(AY20-AE20)*(INDEX(pin!$X$6:$AN$42,MATCH(ΥΠΟΛΟΓΙΣΜΟΙ!AY20,pin!$V$6:$V$42,0),MATCH(ΥΠΟΛΟΓΙΣΜΟΙ!AX20,pin!$X$5:$AN$5,0))-INDEX(pin!$X$6:$AN$42,MATCH(ΥΠΟΛΟΓΙΣΜΟΙ!AZ20,pin!$V$6:$V$42,0),MATCH(ΥΠΟΛΟΓΙΣΜΟΙ!AX20,pin!$X$5:$AN$5,0)))</f>
        <v>1</v>
      </c>
      <c r="BE20" s="187">
        <f t="shared" si="22"/>
        <v>0</v>
      </c>
      <c r="BF20" s="188">
        <f t="shared" si="23"/>
        <v>0</v>
      </c>
      <c r="BG20" s="188">
        <f>INDEX(pin!$D$48:$T$84,MATCH(ΥΠΟΛΟΓΙΣΜΟΙ!BE20,pin!$B$48:$B$84,0),MATCH(ΥΠΟΛΟΓΙΣΜΟΙ!AW20,pin!$D$47:$T$47,0))+0.4*(BE20-AF20)*(INDEX(pin!$D$48:$T$84,MATCH(ΥΠΟΛΟΓΙΣΜΟΙ!BE20,pin!$B$48:$B$84,0),MATCH(ΥΠΟΛΟΓΙΣΜΟΙ!AW20,pin!$D$47:$T$47,0))-INDEX(pin!$D$48:$T$84,MATCH(ΥΠΟΛΟΓΙΣΜΟΙ!BF20,pin!$B$48:$B$84,0),MATCH(ΥΠΟΛΟΓΙΣΜΟΙ!AW20,pin!$D$47:$T$47,0)))</f>
        <v>1</v>
      </c>
      <c r="BH20" s="188">
        <f>INDEX(pin!$D$48:$T$84,MATCH(ΥΠΟΛΟΓΙΣΜΟΙ!BE20,pin!$B$48:$B$84,0),MATCH(ΥΠΟΛΟΓΙΣΜΟΙ!AX20,pin!$D$47:$T$47,0))+0.4*(BE20-AF20)*(INDEX(pin!$D$48:$T$84,MATCH(ΥΠΟΛΟΓΙΣΜΟΙ!BE20,pin!$B$48:$B$84,0),MATCH(ΥΠΟΛΟΓΙΣΜΟΙ!AX20,pin!$D$47:$T$47,0))-INDEX(pin!$D$48:$T$84,MATCH(ΥΠΟΛΟΓΙΣΜΟΙ!BF20,pin!$B$48:$B$84,0),MATCH(ΥΠΟΛΟΓΙΣΜΟΙ!AX20,pin!$D$47:$T$47,0)))</f>
        <v>1</v>
      </c>
      <c r="BI20" s="187">
        <f>INDEX(pin!$X$48:$AN$84,MATCH(ΥΠΟΛΟΓΙΣΜΟΙ!BE20,pin!$V$48:$V$84,0),MATCH(ΥΠΟΛΟΓΙΣΜΟΙ!AW20,pin!$X$47:$AN$47,0))+0.4*(BE20-AF20)*(INDEX(pin!$X$48:$AN$84,MATCH(ΥΠΟΛΟΓΙΣΜΟΙ!BE20,pin!$V$48:$V$84,0),MATCH(ΥΠΟΛΟΓΙΣΜΟΙ!AW20,pin!$X$47:$AN$47,0))-INDEX(pin!$X$48:$AN$84,MATCH(ΥΠΟΛΟΓΙΣΜΟΙ!BF20,pin!$V$48:$V$84,0),MATCH(ΥΠΟΛΟΓΙΣΜΟΙ!AW20,pin!$X$47:$AN$47,0)))</f>
        <v>1</v>
      </c>
      <c r="BJ20" s="203">
        <f>INDEX(pin!$X$48:$AN$84,MATCH(ΥΠΟΛΟΓΙΣΜΟΙ!BE20,pin!$V$48:$V$84,0),MATCH(ΥΠΟΛΟΓΙΣΜΟΙ!AX20,pin!$X$47:$AN$47,0))+0.4*(BE20-AF20)*(INDEX(pin!$X$48:$AN$84,MATCH(ΥΠΟΛΟΓΙΣΜΟΙ!BE20,pin!$V$48:$V$84,0),MATCH(ΥΠΟΛΟΓΙΣΜΟΙ!AX20,pin!$X$47:$AN$47,0))-INDEX(pin!$X$48:$AN$84,MATCH(ΥΠΟΛΟΓΙΣΜΟΙ!BF20,pin!$V$48:$V$84,0),MATCH(ΥΠΟΛΟΓΙΣΜΟΙ!AX20,pin!$X$47:$AN$47,0)))</f>
        <v>1</v>
      </c>
      <c r="BK20" s="187">
        <f t="shared" si="24"/>
        <v>0</v>
      </c>
      <c r="BL20" s="188">
        <f t="shared" si="25"/>
        <v>0</v>
      </c>
      <c r="BM20" s="188">
        <f>INDEX(pin!$X$48:$AN$84,MATCH(ΥΠΟΛΟΓΙΣΜΟΙ!BK20,pin!$V$48:$V$84,0),MATCH(ΥΠΟΛΟΓΙΣΜΟΙ!AW20,pin!$X$47:$AN$47,0))+0.4*(BK20-AG20)*(INDEX(pin!$X$48:$AN$84,MATCH(ΥΠΟΛΟΓΙΣΜΟΙ!BK20,pin!$V$48:$V$84,0),MATCH(ΥΠΟΛΟΓΙΣΜΟΙ!AW20,pin!$X$47:$AN$47,0))-INDEX(pin!$X$48:$AN$84,MATCH(ΥΠΟΛΟΓΙΣΜΟΙ!BL20,pin!$V$48:$V$84,0),MATCH(ΥΠΟΛΟΓΙΣΜΟΙ!AW20,pin!$X$47:$AN$47,0)))</f>
        <v>1</v>
      </c>
      <c r="BN20" s="203">
        <f>INDEX(pin!$X$48:$AN$84,MATCH(ΥΠΟΛΟΓΙΣΜΟΙ!BK20,pin!$V$48:$V$84,0),MATCH(ΥΠΟΛΟΓΙΣΜΟΙ!AX20,pin!$X$47:$AN$47,0))+0.4*(BK20-AG20)*(INDEX(pin!$X$48:$AN$84,MATCH(ΥΠΟΛΟΓΙΣΜΟΙ!BK20,pin!$V$48:$V$84,0),MATCH(ΥΠΟΛΟΓΙΣΜΟΙ!AX20,pin!$X$47:$AN$47,0))-INDEX(pin!$X$48:$AN$84,MATCH(ΥΠΟΛΟΓΙΣΜΟΙ!BL20,pin!$V$48:$V$84,0),MATCH(ΥΠΟΛΟΓΙΣΜΟΙ!AX20,pin!$X$47:$AN$47,0)))</f>
        <v>1</v>
      </c>
      <c r="BO20" s="187">
        <f t="shared" si="26"/>
        <v>0</v>
      </c>
      <c r="BP20" s="188">
        <f t="shared" si="27"/>
        <v>0</v>
      </c>
      <c r="BQ20" s="188">
        <f>INDEX(pin!$D$114:$T$132,MATCH(ΥΠΟΛΟΓΙΣΜΟΙ!BO20,pin!$B$114:$B$132,0),MATCH(ΥΠΟΛΟΓΙΣΜΟΙ!AW20,pin!$D$113:$T$113,0))+0.2*(BO20-AH20)*(INDEX(pin!$D$114:$T$132,MATCH(ΥΠΟΛΟΓΙΣΜΟΙ!BO20,pin!$B$114:$B$132,0),MATCH(ΥΠΟΛΟΓΙΣΜΟΙ!AW20,pin!$D$113:$T$113,0))-INDEX(pin!$D$114:$T$132,MATCH(ΥΠΟΛΟΓΙΣΜΟΙ!BP20,pin!$B$114:$B$132,0),MATCH(ΥΠΟΛΟΓΙΣΜΟΙ!AW20,pin!$D$113:$T$113,0)))</f>
        <v>1</v>
      </c>
      <c r="BR20" s="188">
        <f>INDEX(pin!$D$114:$T$132,MATCH(ΥΠΟΛΟΓΙΣΜΟΙ!BO20,pin!$B$114:$B$132,0),MATCH(ΥΠΟΛΟΓΙΣΜΟΙ!AX20,pin!$D$113:$T$113,0))+0.2*(BO20-AH20)*(INDEX(pin!$D$114:$T$132,MATCH(ΥΠΟΛΟΓΙΣΜΟΙ!BO20,pin!$B$114:$B$132,0),MATCH(ΥΠΟΛΟΓΙΣΜΟΙ!AX20,pin!$D$113:$T$113,0))-INDEX(pin!$D$114:$T$132,MATCH(ΥΠΟΛΟΓΙΣΜΟΙ!BP20,pin!$B$114:$B$132,0),MATCH(ΥΠΟΛΟΓΙΣΜΟΙ!AX20,pin!$D$113:$T$113,0)))</f>
        <v>1</v>
      </c>
      <c r="BS20" s="187">
        <f>INDEX(pin!$X$114:$AN$132,MATCH(ΥΠΟΛΟΓΙΣΜΟΙ!BO20,pin!$V$114:$V$132,0),MATCH(ΥΠΟΛΟΓΙΣΜΟΙ!AW20,pin!$X$113:$AN$113,0))+0.2*(BO20-AH20)*(INDEX(pin!$X$114:$AN$132,MATCH(ΥΠΟΛΟΓΙΣΜΟΙ!BO20,pin!$V$114:$V$132,0),MATCH(ΥΠΟΛΟΓΙΣΜΟΙ!AW20,pin!$X$113:$AN$113,0))-INDEX(pin!$X$114:$AN$132,MATCH(ΥΠΟΛΟΓΙΣΜΟΙ!BP20,pin!$V$114:$V$132,0),MATCH(ΥΠΟΛΟΓΙΣΜΟΙ!AW20,pin!$X$113:$AN$113,0)))</f>
        <v>1</v>
      </c>
      <c r="BT20" s="203">
        <f>INDEX(pin!$X$114:$AN$132,MATCH(ΥΠΟΛΟΓΙΣΜΟΙ!BO20,pin!$V$114:$V$132,0),MATCH(ΥΠΟΛΟΓΙΣΜΟΙ!AX20,pin!$X$113:$AN$113,0))+0.2*(BO20-AH20)*(INDEX(pin!$X$114:$AN$132,MATCH(ΥΠΟΛΟΓΙΣΜΟΙ!BO20,pin!$V$114:$V$132,0),MATCH(ΥΠΟΛΟΓΙΣΜΟΙ!AX20,pin!$X$113:$AN$113,0))-INDEX(pin!$X$114:$AN$132,MATCH(ΥΠΟΛΟΓΙΣΜΟΙ!BP20,pin!$V$114:$V$132,0),MATCH(ΥΠΟΛΟΓΙΣΜΟΙ!AX20,pin!$X$113:$AN$113,0)))</f>
        <v>1</v>
      </c>
      <c r="BU20" s="187">
        <f t="shared" si="28"/>
        <v>0</v>
      </c>
      <c r="BV20" s="188">
        <f t="shared" si="29"/>
        <v>0</v>
      </c>
      <c r="BW20" s="188">
        <f>INDEX(pin!$D$90:$T$108,MATCH(ΥΠΟΛΟΓΙΣΜΟΙ!BU20,pin!$B$90:$B$108,0),MATCH(ΥΠΟΛΟΓΙΣΜΟΙ!AW20,pin!$D$89:$T$89,0))+0.2*(BU20-AI20)*(INDEX(pin!$D$90:$T$108,MATCH(ΥΠΟΛΟΓΙΣΜΟΙ!BU20,pin!$B$90:$B$108,0),MATCH(ΥΠΟΛΟΓΙΣΜΟΙ!AW20,pin!$D$89:$T$89,0))-INDEX(pin!$D$90:$T$108,MATCH(ΥΠΟΛΟΓΙΣΜΟΙ!BV20,pin!$B$90:$B$108,0),MATCH(ΥΠΟΛΟΓΙΣΜΟΙ!AW20,pin!$D$89:$T$89,0)))</f>
        <v>1</v>
      </c>
      <c r="BX20" s="203">
        <f>INDEX(pin!$D$90:$T$108,MATCH(ΥΠΟΛΟΓΙΣΜΟΙ!BU20,pin!$B$90:$B$108,0),MATCH(ΥΠΟΛΟΓΙΣΜΟΙ!AX20,pin!$D$89:$T$89,0))+0.2*(BU20-AI20)*(INDEX(pin!$D$90:$T$108,MATCH(ΥΠΟΛΟΓΙΣΜΟΙ!BU20,pin!$B$90:$B$108,0),MATCH(ΥΠΟΛΟΓΙΣΜΟΙ!AX20,pin!$D$89:$T$89,0))-INDEX(pin!$D$90:$T$108,MATCH(ΥΠΟΛΟΓΙΣΜΟΙ!BV20,pin!$B$90:$B$108,0),MATCH(ΥΠΟΛΟΓΙΣΜΟΙ!AX20,pin!$D$89:$T$89,0)))</f>
        <v>1</v>
      </c>
      <c r="BY20" s="188">
        <f>INDEX(pin!$X$90:$AN$108,MATCH(ΥΠΟΛΟΓΙΣΜΟΙ!BU20,pin!$V$90:$V$108,0),MATCH(ΥΠΟΛΟΓΙΣΜΟΙ!AW20,pin!$X$89:$AN$89,0))+0.2*(BU20-AI20)*(INDEX(pin!$X$90:$AN$108,MATCH(ΥΠΟΛΟΓΙΣΜΟΙ!BU20,pin!$V$90:$V$108,0),MATCH(ΥΠΟΛΟΓΙΣΜΟΙ!AW20,pin!$X$89:$AN$89,0))-INDEX(pin!$X$90:$AN$108,MATCH(ΥΠΟΛΟΓΙΣΜΟΙ!BV20,pin!$V$90:$V$108,0),MATCH(ΥΠΟΛΟΓΙΣΜΟΙ!AW20,pin!$X$89:$AN$89,0)))</f>
        <v>1</v>
      </c>
      <c r="BZ20" s="203">
        <f>INDEX(pin!$X$90:$AN$108,MATCH(ΥΠΟΛΟΓΙΣΜΟΙ!BU20,pin!$V$90:$V$108,0),MATCH(ΥΠΟΛΟΓΙΣΜΟΙ!AX20,pin!$X$89:$AN$89,0))+0.2*(BU20-AI20)*(INDEX(pin!$X$90:$AN$108,MATCH(ΥΠΟΛΟΓΙΣΜΟΙ!BU20,pin!$V$90:$V$108,0),MATCH(ΥΠΟΛΟΓΙΣΜΟΙ!AX20,pin!$X$89:$AN$89,0))-INDEX(pin!$X$90:$AN$108,MATCH(ΥΠΟΛΟΓΙΣΜΟΙ!BV20,pin!$V$90:$V$108,0),MATCH(ΥΠΟΛΟΓΙΣΜΟΙ!AX20,pin!$X$89:$AN$89,0)))</f>
        <v>1</v>
      </c>
      <c r="CA20" s="191"/>
      <c r="DF20" s="232"/>
      <c r="DI20" s="232"/>
    </row>
    <row r="21" spans="1:119">
      <c r="A21" s="56">
        <v>5</v>
      </c>
      <c r="B21" s="118"/>
      <c r="C21" s="116"/>
      <c r="D21" s="116"/>
      <c r="E21" s="47" t="str">
        <f t="shared" si="1"/>
        <v>-</v>
      </c>
      <c r="F21" s="116"/>
      <c r="G21" s="239" t="str">
        <f t="shared" si="2"/>
        <v>-</v>
      </c>
      <c r="H21" s="240"/>
      <c r="I21" s="116"/>
      <c r="J21" s="116"/>
      <c r="K21" s="236" t="str">
        <f t="shared" si="3"/>
        <v>-</v>
      </c>
      <c r="L21" s="235"/>
      <c r="M21" s="235"/>
      <c r="N21" s="529" t="s">
        <v>671</v>
      </c>
      <c r="O21" s="46">
        <f t="shared" si="4"/>
        <v>1</v>
      </c>
      <c r="P21" s="120">
        <f t="shared" si="30"/>
        <v>1</v>
      </c>
      <c r="Q21" s="46">
        <f t="shared" si="5"/>
        <v>1</v>
      </c>
      <c r="R21" s="120">
        <f t="shared" si="6"/>
        <v>1</v>
      </c>
      <c r="S21" s="46">
        <f t="shared" si="7"/>
        <v>1</v>
      </c>
      <c r="T21" s="120">
        <f t="shared" si="8"/>
        <v>1</v>
      </c>
      <c r="U21" s="121"/>
      <c r="V21" s="122"/>
      <c r="W21" s="116"/>
      <c r="X21" s="117"/>
      <c r="Y21" s="163"/>
      <c r="Z21" s="122"/>
      <c r="AA21" s="116"/>
      <c r="AB21" s="116"/>
      <c r="AC21" s="121"/>
      <c r="AD21" s="117"/>
      <c r="AE21" s="204">
        <f t="shared" si="0"/>
        <v>0</v>
      </c>
      <c r="AF21" s="180">
        <f t="shared" si="9"/>
        <v>0</v>
      </c>
      <c r="AG21" s="180">
        <f t="shared" si="10"/>
        <v>0</v>
      </c>
      <c r="AH21" s="180">
        <f t="shared" si="11"/>
        <v>0</v>
      </c>
      <c r="AI21" s="180">
        <f t="shared" si="12"/>
        <v>0</v>
      </c>
      <c r="AJ21" s="181">
        <f t="shared" si="13"/>
        <v>1</v>
      </c>
      <c r="AK21" s="181">
        <f t="shared" si="14"/>
        <v>1</v>
      </c>
      <c r="AL21" s="181">
        <f t="shared" si="15"/>
        <v>1</v>
      </c>
      <c r="AM21" s="181">
        <f t="shared" si="16"/>
        <v>1</v>
      </c>
      <c r="AN21" s="187">
        <f t="shared" si="17"/>
        <v>0</v>
      </c>
      <c r="AO21" s="188"/>
      <c r="AP21" s="188"/>
      <c r="AQ21" s="188"/>
      <c r="AR21" s="188"/>
      <c r="AS21" s="188"/>
      <c r="AT21" s="188"/>
      <c r="AU21" s="188"/>
      <c r="AV21" s="188" t="s">
        <v>256</v>
      </c>
      <c r="AW21" s="188">
        <f t="shared" si="18"/>
        <v>0</v>
      </c>
      <c r="AX21" s="203">
        <f t="shared" si="19"/>
        <v>0</v>
      </c>
      <c r="AY21" s="187">
        <f t="shared" si="20"/>
        <v>0</v>
      </c>
      <c r="AZ21" s="188">
        <f t="shared" si="21"/>
        <v>0</v>
      </c>
      <c r="BA21" s="188">
        <f>INDEX(pin!$D$6:$T$42,MATCH(ΥΠΟΛΟΓΙΣΜΟΙ!AY21,pin!$B$6:$B$42,0),MATCH(ΥΠΟΛΟΓΙΣΜΟΙ!AW21,pin!$D$5:$T$5,0))+0.4*(AY21-AE21)*(INDEX(pin!$D$6:$T$42,MATCH(ΥΠΟΛΟΓΙΣΜΟΙ!AY21,pin!$B$6:$B$42,0),MATCH(ΥΠΟΛΟΓΙΣΜΟΙ!AW21,pin!$D$5:$T$5,0))-INDEX(pin!$D$6:$T$42,MATCH(ΥΠΟΛΟΓΙΣΜΟΙ!AZ21,pin!$B$6:$B$42,0),MATCH(ΥΠΟΛΟΓΙΣΜΟΙ!AW21,pin!$D$5:$T$5,0)))</f>
        <v>1</v>
      </c>
      <c r="BB21" s="203">
        <f>INDEX(pin!$D$6:$T$42,MATCH(ΥΠΟΛΟΓΙΣΜΟΙ!AY21,pin!$B$6:$B$42,0),MATCH(ΥΠΟΛΟΓΙΣΜΟΙ!AX21,pin!$D$5:$T$5,0))+0.4*(AY21-AE21)*(INDEX(pin!$D$6:$T$42,MATCH(ΥΠΟΛΟΓΙΣΜΟΙ!AY21,pin!$B$6:$B$42,0),MATCH(ΥΠΟΛΟΓΙΣΜΟΙ!AX21,pin!$D$5:$T$5,0))-INDEX(pin!$D$6:$T$42,MATCH(ΥΠΟΛΟΓΙΣΜΟΙ!AZ21,pin!$B$6:$B$42,0),MATCH(ΥΠΟΛΟΓΙΣΜΟΙ!AX21,pin!$D$5:$T$5,0)))</f>
        <v>1</v>
      </c>
      <c r="BC21" s="188">
        <f>INDEX(pin!$X$6:$AN$42,MATCH(ΥΠΟΛΟΓΙΣΜΟΙ!AY21,pin!$V$6:$V$42,0),MATCH(ΥΠΟΛΟΓΙΣΜΟΙ!AW21,pin!$X$5:$AN$5,0))+0.4*(AY21-AE21)*(INDEX(pin!$X$6:$AN$42,MATCH(ΥΠΟΛΟΓΙΣΜΟΙ!AY21,pin!$V$6:$V$42,0),MATCH(ΥΠΟΛΟΓΙΣΜΟΙ!AW21,pin!$X$5:$AN$5,0))-INDEX(pin!$X$6:$AN$42,MATCH(ΥΠΟΛΟΓΙΣΜΟΙ!AZ21,pin!$V$6:$V$42,0),MATCH(ΥΠΟΛΟΓΙΣΜΟΙ!AW21,pin!$X$5:$AN$5,0)))</f>
        <v>1</v>
      </c>
      <c r="BD21" s="188">
        <f>INDEX(pin!$X$6:$AN$42,MATCH(ΥΠΟΛΟΓΙΣΜΟΙ!AY21,pin!$V$6:$V$42,0),MATCH(ΥΠΟΛΟΓΙΣΜΟΙ!AX21,pin!$X$5:$AN$5,0))+0.4*(AY21-AE21)*(INDEX(pin!$X$6:$AN$42,MATCH(ΥΠΟΛΟΓΙΣΜΟΙ!AY21,pin!$V$6:$V$42,0),MATCH(ΥΠΟΛΟΓΙΣΜΟΙ!AX21,pin!$X$5:$AN$5,0))-INDEX(pin!$X$6:$AN$42,MATCH(ΥΠΟΛΟΓΙΣΜΟΙ!AZ21,pin!$V$6:$V$42,0),MATCH(ΥΠΟΛΟΓΙΣΜΟΙ!AX21,pin!$X$5:$AN$5,0)))</f>
        <v>1</v>
      </c>
      <c r="BE21" s="187">
        <f t="shared" si="22"/>
        <v>0</v>
      </c>
      <c r="BF21" s="188">
        <f t="shared" si="23"/>
        <v>0</v>
      </c>
      <c r="BG21" s="188">
        <f>INDEX(pin!$D$48:$T$84,MATCH(ΥΠΟΛΟΓΙΣΜΟΙ!BE21,pin!$B$48:$B$84,0),MATCH(ΥΠΟΛΟΓΙΣΜΟΙ!AW21,pin!$D$47:$T$47,0))+0.4*(BE21-AF21)*(INDEX(pin!$D$48:$T$84,MATCH(ΥΠΟΛΟΓΙΣΜΟΙ!BE21,pin!$B$48:$B$84,0),MATCH(ΥΠΟΛΟΓΙΣΜΟΙ!AW21,pin!$D$47:$T$47,0))-INDEX(pin!$D$48:$T$84,MATCH(ΥΠΟΛΟΓΙΣΜΟΙ!BF21,pin!$B$48:$B$84,0),MATCH(ΥΠΟΛΟΓΙΣΜΟΙ!AW21,pin!$D$47:$T$47,0)))</f>
        <v>1</v>
      </c>
      <c r="BH21" s="188">
        <f>INDEX(pin!$D$48:$T$84,MATCH(ΥΠΟΛΟΓΙΣΜΟΙ!BE21,pin!$B$48:$B$84,0),MATCH(ΥΠΟΛΟΓΙΣΜΟΙ!AX21,pin!$D$47:$T$47,0))+0.4*(BE21-AF21)*(INDEX(pin!$D$48:$T$84,MATCH(ΥΠΟΛΟΓΙΣΜΟΙ!BE21,pin!$B$48:$B$84,0),MATCH(ΥΠΟΛΟΓΙΣΜΟΙ!AX21,pin!$D$47:$T$47,0))-INDEX(pin!$D$48:$T$84,MATCH(ΥΠΟΛΟΓΙΣΜΟΙ!BF21,pin!$B$48:$B$84,0),MATCH(ΥΠΟΛΟΓΙΣΜΟΙ!AX21,pin!$D$47:$T$47,0)))</f>
        <v>1</v>
      </c>
      <c r="BI21" s="187">
        <f>INDEX(pin!$X$48:$AN$84,MATCH(ΥΠΟΛΟΓΙΣΜΟΙ!BE21,pin!$V$48:$V$84,0),MATCH(ΥΠΟΛΟΓΙΣΜΟΙ!AW21,pin!$X$47:$AN$47,0))+0.4*(BE21-AF21)*(INDEX(pin!$X$48:$AN$84,MATCH(ΥΠΟΛΟΓΙΣΜΟΙ!BE21,pin!$V$48:$V$84,0),MATCH(ΥΠΟΛΟΓΙΣΜΟΙ!AW21,pin!$X$47:$AN$47,0))-INDEX(pin!$X$48:$AN$84,MATCH(ΥΠΟΛΟΓΙΣΜΟΙ!BF21,pin!$V$48:$V$84,0),MATCH(ΥΠΟΛΟΓΙΣΜΟΙ!AW21,pin!$X$47:$AN$47,0)))</f>
        <v>1</v>
      </c>
      <c r="BJ21" s="203">
        <f>INDEX(pin!$X$48:$AN$84,MATCH(ΥΠΟΛΟΓΙΣΜΟΙ!BE21,pin!$V$48:$V$84,0),MATCH(ΥΠΟΛΟΓΙΣΜΟΙ!AX21,pin!$X$47:$AN$47,0))+0.4*(BE21-AF21)*(INDEX(pin!$X$48:$AN$84,MATCH(ΥΠΟΛΟΓΙΣΜΟΙ!BE21,pin!$V$48:$V$84,0),MATCH(ΥΠΟΛΟΓΙΣΜΟΙ!AX21,pin!$X$47:$AN$47,0))-INDEX(pin!$X$48:$AN$84,MATCH(ΥΠΟΛΟΓΙΣΜΟΙ!BF21,pin!$V$48:$V$84,0),MATCH(ΥΠΟΛΟΓΙΣΜΟΙ!AX21,pin!$X$47:$AN$47,0)))</f>
        <v>1</v>
      </c>
      <c r="BK21" s="187">
        <f t="shared" si="24"/>
        <v>0</v>
      </c>
      <c r="BL21" s="188">
        <f t="shared" si="25"/>
        <v>0</v>
      </c>
      <c r="BM21" s="188">
        <f>INDEX(pin!$X$48:$AN$84,MATCH(ΥΠΟΛΟΓΙΣΜΟΙ!BK21,pin!$V$48:$V$84,0),MATCH(ΥΠΟΛΟΓΙΣΜΟΙ!AW21,pin!$X$47:$AN$47,0))+0.4*(BK21-AG21)*(INDEX(pin!$X$48:$AN$84,MATCH(ΥΠΟΛΟΓΙΣΜΟΙ!BK21,pin!$V$48:$V$84,0),MATCH(ΥΠΟΛΟΓΙΣΜΟΙ!AW21,pin!$X$47:$AN$47,0))-INDEX(pin!$X$48:$AN$84,MATCH(ΥΠΟΛΟΓΙΣΜΟΙ!BL21,pin!$V$48:$V$84,0),MATCH(ΥΠΟΛΟΓΙΣΜΟΙ!AW21,pin!$X$47:$AN$47,0)))</f>
        <v>1</v>
      </c>
      <c r="BN21" s="203">
        <f>INDEX(pin!$X$48:$AN$84,MATCH(ΥΠΟΛΟΓΙΣΜΟΙ!BK21,pin!$V$48:$V$84,0),MATCH(ΥΠΟΛΟΓΙΣΜΟΙ!AX21,pin!$X$47:$AN$47,0))+0.4*(BK21-AG21)*(INDEX(pin!$X$48:$AN$84,MATCH(ΥΠΟΛΟΓΙΣΜΟΙ!BK21,pin!$V$48:$V$84,0),MATCH(ΥΠΟΛΟΓΙΣΜΟΙ!AX21,pin!$X$47:$AN$47,0))-INDEX(pin!$X$48:$AN$84,MATCH(ΥΠΟΛΟΓΙΣΜΟΙ!BL21,pin!$V$48:$V$84,0),MATCH(ΥΠΟΛΟΓΙΣΜΟΙ!AX21,pin!$X$47:$AN$47,0)))</f>
        <v>1</v>
      </c>
      <c r="BO21" s="187">
        <f t="shared" si="26"/>
        <v>0</v>
      </c>
      <c r="BP21" s="188">
        <f t="shared" si="27"/>
        <v>0</v>
      </c>
      <c r="BQ21" s="188">
        <f>INDEX(pin!$D$114:$T$132,MATCH(ΥΠΟΛΟΓΙΣΜΟΙ!BO21,pin!$B$114:$B$132,0),MATCH(ΥΠΟΛΟΓΙΣΜΟΙ!AW21,pin!$D$113:$T$113,0))+0.2*(BO21-AH21)*(INDEX(pin!$D$114:$T$132,MATCH(ΥΠΟΛΟΓΙΣΜΟΙ!BO21,pin!$B$114:$B$132,0),MATCH(ΥΠΟΛΟΓΙΣΜΟΙ!AW21,pin!$D$113:$T$113,0))-INDEX(pin!$D$114:$T$132,MATCH(ΥΠΟΛΟΓΙΣΜΟΙ!BP21,pin!$B$114:$B$132,0),MATCH(ΥΠΟΛΟΓΙΣΜΟΙ!AW21,pin!$D$113:$T$113,0)))</f>
        <v>1</v>
      </c>
      <c r="BR21" s="188">
        <f>INDEX(pin!$D$114:$T$132,MATCH(ΥΠΟΛΟΓΙΣΜΟΙ!BO21,pin!$B$114:$B$132,0),MATCH(ΥΠΟΛΟΓΙΣΜΟΙ!AX21,pin!$D$113:$T$113,0))+0.2*(BO21-AH21)*(INDEX(pin!$D$114:$T$132,MATCH(ΥΠΟΛΟΓΙΣΜΟΙ!BO21,pin!$B$114:$B$132,0),MATCH(ΥΠΟΛΟΓΙΣΜΟΙ!AX21,pin!$D$113:$T$113,0))-INDEX(pin!$D$114:$T$132,MATCH(ΥΠΟΛΟΓΙΣΜΟΙ!BP21,pin!$B$114:$B$132,0),MATCH(ΥΠΟΛΟΓΙΣΜΟΙ!AX21,pin!$D$113:$T$113,0)))</f>
        <v>1</v>
      </c>
      <c r="BS21" s="187">
        <f>INDEX(pin!$X$114:$AN$132,MATCH(ΥΠΟΛΟΓΙΣΜΟΙ!BO21,pin!$V$114:$V$132,0),MATCH(ΥΠΟΛΟΓΙΣΜΟΙ!AW21,pin!$X$113:$AN$113,0))+0.2*(BO21-AH21)*(INDEX(pin!$X$114:$AN$132,MATCH(ΥΠΟΛΟΓΙΣΜΟΙ!BO21,pin!$V$114:$V$132,0),MATCH(ΥΠΟΛΟΓΙΣΜΟΙ!AW21,pin!$X$113:$AN$113,0))-INDEX(pin!$X$114:$AN$132,MATCH(ΥΠΟΛΟΓΙΣΜΟΙ!BP21,pin!$V$114:$V$132,0),MATCH(ΥΠΟΛΟΓΙΣΜΟΙ!AW21,pin!$X$113:$AN$113,0)))</f>
        <v>1</v>
      </c>
      <c r="BT21" s="203">
        <f>INDEX(pin!$X$114:$AN$132,MATCH(ΥΠΟΛΟΓΙΣΜΟΙ!BO21,pin!$V$114:$V$132,0),MATCH(ΥΠΟΛΟΓΙΣΜΟΙ!AX21,pin!$X$113:$AN$113,0))+0.2*(BO21-AH21)*(INDEX(pin!$X$114:$AN$132,MATCH(ΥΠΟΛΟΓΙΣΜΟΙ!BO21,pin!$V$114:$V$132,0),MATCH(ΥΠΟΛΟΓΙΣΜΟΙ!AX21,pin!$X$113:$AN$113,0))-INDEX(pin!$X$114:$AN$132,MATCH(ΥΠΟΛΟΓΙΣΜΟΙ!BP21,pin!$V$114:$V$132,0),MATCH(ΥΠΟΛΟΓΙΣΜΟΙ!AX21,pin!$X$113:$AN$113,0)))</f>
        <v>1</v>
      </c>
      <c r="BU21" s="187">
        <f t="shared" si="28"/>
        <v>0</v>
      </c>
      <c r="BV21" s="188">
        <f t="shared" si="29"/>
        <v>0</v>
      </c>
      <c r="BW21" s="188">
        <f>INDEX(pin!$D$90:$T$108,MATCH(ΥΠΟΛΟΓΙΣΜΟΙ!BU21,pin!$B$90:$B$108,0),MATCH(ΥΠΟΛΟΓΙΣΜΟΙ!AW21,pin!$D$89:$T$89,0))+0.2*(BU21-AI21)*(INDEX(pin!$D$90:$T$108,MATCH(ΥΠΟΛΟΓΙΣΜΟΙ!BU21,pin!$B$90:$B$108,0),MATCH(ΥΠΟΛΟΓΙΣΜΟΙ!AW21,pin!$D$89:$T$89,0))-INDEX(pin!$D$90:$T$108,MATCH(ΥΠΟΛΟΓΙΣΜΟΙ!BV21,pin!$B$90:$B$108,0),MATCH(ΥΠΟΛΟΓΙΣΜΟΙ!AW21,pin!$D$89:$T$89,0)))</f>
        <v>1</v>
      </c>
      <c r="BX21" s="203">
        <f>INDEX(pin!$D$90:$T$108,MATCH(ΥΠΟΛΟΓΙΣΜΟΙ!BU21,pin!$B$90:$B$108,0),MATCH(ΥΠΟΛΟΓΙΣΜΟΙ!AX21,pin!$D$89:$T$89,0))+0.2*(BU21-AI21)*(INDEX(pin!$D$90:$T$108,MATCH(ΥΠΟΛΟΓΙΣΜΟΙ!BU21,pin!$B$90:$B$108,0),MATCH(ΥΠΟΛΟΓΙΣΜΟΙ!AX21,pin!$D$89:$T$89,0))-INDEX(pin!$D$90:$T$108,MATCH(ΥΠΟΛΟΓΙΣΜΟΙ!BV21,pin!$B$90:$B$108,0),MATCH(ΥΠΟΛΟΓΙΣΜΟΙ!AX21,pin!$D$89:$T$89,0)))</f>
        <v>1</v>
      </c>
      <c r="BY21" s="188">
        <f>INDEX(pin!$X$90:$AN$108,MATCH(ΥΠΟΛΟΓΙΣΜΟΙ!BU21,pin!$V$90:$V$108,0),MATCH(ΥΠΟΛΟΓΙΣΜΟΙ!AW21,pin!$X$89:$AN$89,0))+0.2*(BU21-AI21)*(INDEX(pin!$X$90:$AN$108,MATCH(ΥΠΟΛΟΓΙΣΜΟΙ!BU21,pin!$V$90:$V$108,0),MATCH(ΥΠΟΛΟΓΙΣΜΟΙ!AW21,pin!$X$89:$AN$89,0))-INDEX(pin!$X$90:$AN$108,MATCH(ΥΠΟΛΟΓΙΣΜΟΙ!BV21,pin!$V$90:$V$108,0),MATCH(ΥΠΟΛΟΓΙΣΜΟΙ!AW21,pin!$X$89:$AN$89,0)))</f>
        <v>1</v>
      </c>
      <c r="BZ21" s="203">
        <f>INDEX(pin!$X$90:$AN$108,MATCH(ΥΠΟΛΟΓΙΣΜΟΙ!BU21,pin!$V$90:$V$108,0),MATCH(ΥΠΟΛΟΓΙΣΜΟΙ!AX21,pin!$X$89:$AN$89,0))+0.2*(BU21-AI21)*(INDEX(pin!$X$90:$AN$108,MATCH(ΥΠΟΛΟΓΙΣΜΟΙ!BU21,pin!$V$90:$V$108,0),MATCH(ΥΠΟΛΟΓΙΣΜΟΙ!AX21,pin!$X$89:$AN$89,0))-INDEX(pin!$X$90:$AN$108,MATCH(ΥΠΟΛΟΓΙΣΜΟΙ!BV21,pin!$V$90:$V$108,0),MATCH(ΥΠΟΛΟΓΙΣΜΟΙ!AX21,pin!$X$89:$AN$89,0)))</f>
        <v>1</v>
      </c>
      <c r="CA21" s="191"/>
      <c r="DF21" s="232"/>
      <c r="DI21" s="233"/>
    </row>
    <row r="22" spans="1:119">
      <c r="A22" s="56">
        <v>6</v>
      </c>
      <c r="B22" s="266"/>
      <c r="C22" s="116"/>
      <c r="D22" s="117"/>
      <c r="E22" s="47" t="str">
        <f t="shared" si="1"/>
        <v>-</v>
      </c>
      <c r="F22" s="116"/>
      <c r="G22" s="239" t="str">
        <f t="shared" si="2"/>
        <v>-</v>
      </c>
      <c r="H22" s="240"/>
      <c r="I22" s="116"/>
      <c r="J22" s="116"/>
      <c r="K22" s="236" t="str">
        <f t="shared" si="3"/>
        <v>-</v>
      </c>
      <c r="L22" s="235"/>
      <c r="M22" s="235"/>
      <c r="N22" s="529" t="s">
        <v>671</v>
      </c>
      <c r="O22" s="46">
        <f t="shared" si="4"/>
        <v>1</v>
      </c>
      <c r="P22" s="120">
        <f t="shared" si="30"/>
        <v>1</v>
      </c>
      <c r="Q22" s="46">
        <f t="shared" si="5"/>
        <v>1</v>
      </c>
      <c r="R22" s="120">
        <f t="shared" si="6"/>
        <v>1</v>
      </c>
      <c r="S22" s="46">
        <f t="shared" si="7"/>
        <v>1</v>
      </c>
      <c r="T22" s="120">
        <f t="shared" si="8"/>
        <v>1</v>
      </c>
      <c r="U22" s="121"/>
      <c r="V22" s="122"/>
      <c r="W22" s="116"/>
      <c r="X22" s="165"/>
      <c r="Y22" s="163"/>
      <c r="Z22" s="122"/>
      <c r="AA22" s="116"/>
      <c r="AB22" s="116"/>
      <c r="AC22" s="121"/>
      <c r="AD22" s="117"/>
      <c r="AE22" s="204">
        <f t="shared" si="0"/>
        <v>0</v>
      </c>
      <c r="AF22" s="180">
        <f t="shared" si="9"/>
        <v>0</v>
      </c>
      <c r="AG22" s="180">
        <f t="shared" si="10"/>
        <v>0</v>
      </c>
      <c r="AH22" s="180">
        <f t="shared" si="11"/>
        <v>0</v>
      </c>
      <c r="AI22" s="180">
        <f t="shared" si="12"/>
        <v>0</v>
      </c>
      <c r="AJ22" s="181">
        <f t="shared" si="13"/>
        <v>1</v>
      </c>
      <c r="AK22" s="181">
        <f t="shared" si="14"/>
        <v>1</v>
      </c>
      <c r="AL22" s="181">
        <f t="shared" si="15"/>
        <v>1</v>
      </c>
      <c r="AM22" s="181">
        <f t="shared" si="16"/>
        <v>1</v>
      </c>
      <c r="AN22" s="187">
        <f t="shared" si="17"/>
        <v>0</v>
      </c>
      <c r="AO22" s="188"/>
      <c r="AP22" s="188"/>
      <c r="AQ22" s="188"/>
      <c r="AR22" s="188"/>
      <c r="AS22" s="188"/>
      <c r="AT22" s="188"/>
      <c r="AU22" s="188"/>
      <c r="AV22" s="188" t="s">
        <v>256</v>
      </c>
      <c r="AW22" s="188">
        <f t="shared" si="18"/>
        <v>0</v>
      </c>
      <c r="AX22" s="203">
        <f t="shared" si="19"/>
        <v>0</v>
      </c>
      <c r="AY22" s="187">
        <f t="shared" si="20"/>
        <v>0</v>
      </c>
      <c r="AZ22" s="188">
        <f t="shared" si="21"/>
        <v>0</v>
      </c>
      <c r="BA22" s="188">
        <f>INDEX(pin!$D$6:$T$42,MATCH(ΥΠΟΛΟΓΙΣΜΟΙ!AY22,pin!$B$6:$B$42,0),MATCH(ΥΠΟΛΟΓΙΣΜΟΙ!AW22,pin!$D$5:$T$5,0))+0.4*(AY22-AE22)*(INDEX(pin!$D$6:$T$42,MATCH(ΥΠΟΛΟΓΙΣΜΟΙ!AY22,pin!$B$6:$B$42,0),MATCH(ΥΠΟΛΟΓΙΣΜΟΙ!AW22,pin!$D$5:$T$5,0))-INDEX(pin!$D$6:$T$42,MATCH(ΥΠΟΛΟΓΙΣΜΟΙ!AZ22,pin!$B$6:$B$42,0),MATCH(ΥΠΟΛΟΓΙΣΜΟΙ!AW22,pin!$D$5:$T$5,0)))</f>
        <v>1</v>
      </c>
      <c r="BB22" s="203">
        <f>INDEX(pin!$D$6:$T$42,MATCH(ΥΠΟΛΟΓΙΣΜΟΙ!AY22,pin!$B$6:$B$42,0),MATCH(ΥΠΟΛΟΓΙΣΜΟΙ!AX22,pin!$D$5:$T$5,0))+0.4*(AY22-AE22)*(INDEX(pin!$D$6:$T$42,MATCH(ΥΠΟΛΟΓΙΣΜΟΙ!AY22,pin!$B$6:$B$42,0),MATCH(ΥΠΟΛΟΓΙΣΜΟΙ!AX22,pin!$D$5:$T$5,0))-INDEX(pin!$D$6:$T$42,MATCH(ΥΠΟΛΟΓΙΣΜΟΙ!AZ22,pin!$B$6:$B$42,0),MATCH(ΥΠΟΛΟΓΙΣΜΟΙ!AX22,pin!$D$5:$T$5,0)))</f>
        <v>1</v>
      </c>
      <c r="BC22" s="188">
        <f>INDEX(pin!$X$6:$AN$42,MATCH(ΥΠΟΛΟΓΙΣΜΟΙ!AY22,pin!$V$6:$V$42,0),MATCH(ΥΠΟΛΟΓΙΣΜΟΙ!AW22,pin!$X$5:$AN$5,0))+0.4*(AY22-AE22)*(INDEX(pin!$X$6:$AN$42,MATCH(ΥΠΟΛΟΓΙΣΜΟΙ!AY22,pin!$V$6:$V$42,0),MATCH(ΥΠΟΛΟΓΙΣΜΟΙ!AW22,pin!$X$5:$AN$5,0))-INDEX(pin!$X$6:$AN$42,MATCH(ΥΠΟΛΟΓΙΣΜΟΙ!AZ22,pin!$V$6:$V$42,0),MATCH(ΥΠΟΛΟΓΙΣΜΟΙ!AW22,pin!$X$5:$AN$5,0)))</f>
        <v>1</v>
      </c>
      <c r="BD22" s="188">
        <f>INDEX(pin!$X$6:$AN$42,MATCH(ΥΠΟΛΟΓΙΣΜΟΙ!AY22,pin!$V$6:$V$42,0),MATCH(ΥΠΟΛΟΓΙΣΜΟΙ!AX22,pin!$X$5:$AN$5,0))+0.4*(AY22-AE22)*(INDEX(pin!$X$6:$AN$42,MATCH(ΥΠΟΛΟΓΙΣΜΟΙ!AY22,pin!$V$6:$V$42,0),MATCH(ΥΠΟΛΟΓΙΣΜΟΙ!AX22,pin!$X$5:$AN$5,0))-INDEX(pin!$X$6:$AN$42,MATCH(ΥΠΟΛΟΓΙΣΜΟΙ!AZ22,pin!$V$6:$V$42,0),MATCH(ΥΠΟΛΟΓΙΣΜΟΙ!AX22,pin!$X$5:$AN$5,0)))</f>
        <v>1</v>
      </c>
      <c r="BE22" s="187">
        <f t="shared" si="22"/>
        <v>0</v>
      </c>
      <c r="BF22" s="188">
        <f t="shared" si="23"/>
        <v>0</v>
      </c>
      <c r="BG22" s="188">
        <f>INDEX(pin!$D$48:$T$84,MATCH(ΥΠΟΛΟΓΙΣΜΟΙ!BE22,pin!$B$48:$B$84,0),MATCH(ΥΠΟΛΟΓΙΣΜΟΙ!AW22,pin!$D$47:$T$47,0))+0.4*(BE22-AF22)*(INDEX(pin!$D$48:$T$84,MATCH(ΥΠΟΛΟΓΙΣΜΟΙ!BE22,pin!$B$48:$B$84,0),MATCH(ΥΠΟΛΟΓΙΣΜΟΙ!AW22,pin!$D$47:$T$47,0))-INDEX(pin!$D$48:$T$84,MATCH(ΥΠΟΛΟΓΙΣΜΟΙ!BF22,pin!$B$48:$B$84,0),MATCH(ΥΠΟΛΟΓΙΣΜΟΙ!AW22,pin!$D$47:$T$47,0)))</f>
        <v>1</v>
      </c>
      <c r="BH22" s="188">
        <f>INDEX(pin!$D$48:$T$84,MATCH(ΥΠΟΛΟΓΙΣΜΟΙ!BE22,pin!$B$48:$B$84,0),MATCH(ΥΠΟΛΟΓΙΣΜΟΙ!AX22,pin!$D$47:$T$47,0))+0.4*(BE22-AF22)*(INDEX(pin!$D$48:$T$84,MATCH(ΥΠΟΛΟΓΙΣΜΟΙ!BE22,pin!$B$48:$B$84,0),MATCH(ΥΠΟΛΟΓΙΣΜΟΙ!AX22,pin!$D$47:$T$47,0))-INDEX(pin!$D$48:$T$84,MATCH(ΥΠΟΛΟΓΙΣΜΟΙ!BF22,pin!$B$48:$B$84,0),MATCH(ΥΠΟΛΟΓΙΣΜΟΙ!AX22,pin!$D$47:$T$47,0)))</f>
        <v>1</v>
      </c>
      <c r="BI22" s="187">
        <f>INDEX(pin!$X$48:$AN$84,MATCH(ΥΠΟΛΟΓΙΣΜΟΙ!BE22,pin!$V$48:$V$84,0),MATCH(ΥΠΟΛΟΓΙΣΜΟΙ!AW22,pin!$X$47:$AN$47,0))+0.4*(BE22-AF22)*(INDEX(pin!$X$48:$AN$84,MATCH(ΥΠΟΛΟΓΙΣΜΟΙ!BE22,pin!$V$48:$V$84,0),MATCH(ΥΠΟΛΟΓΙΣΜΟΙ!AW22,pin!$X$47:$AN$47,0))-INDEX(pin!$X$48:$AN$84,MATCH(ΥΠΟΛΟΓΙΣΜΟΙ!BF22,pin!$V$48:$V$84,0),MATCH(ΥΠΟΛΟΓΙΣΜΟΙ!AW22,pin!$X$47:$AN$47,0)))</f>
        <v>1</v>
      </c>
      <c r="BJ22" s="203">
        <f>INDEX(pin!$X$48:$AN$84,MATCH(ΥΠΟΛΟΓΙΣΜΟΙ!BE22,pin!$V$48:$V$84,0),MATCH(ΥΠΟΛΟΓΙΣΜΟΙ!AX22,pin!$X$47:$AN$47,0))+0.4*(BE22-AF22)*(INDEX(pin!$X$48:$AN$84,MATCH(ΥΠΟΛΟΓΙΣΜΟΙ!BE22,pin!$V$48:$V$84,0),MATCH(ΥΠΟΛΟΓΙΣΜΟΙ!AX22,pin!$X$47:$AN$47,0))-INDEX(pin!$X$48:$AN$84,MATCH(ΥΠΟΛΟΓΙΣΜΟΙ!BF22,pin!$V$48:$V$84,0),MATCH(ΥΠΟΛΟΓΙΣΜΟΙ!AX22,pin!$X$47:$AN$47,0)))</f>
        <v>1</v>
      </c>
      <c r="BK22" s="187">
        <f t="shared" si="24"/>
        <v>0</v>
      </c>
      <c r="BL22" s="188">
        <f t="shared" si="25"/>
        <v>0</v>
      </c>
      <c r="BM22" s="188">
        <f>INDEX(pin!$X$48:$AN$84,MATCH(ΥΠΟΛΟΓΙΣΜΟΙ!BK22,pin!$V$48:$V$84,0),MATCH(ΥΠΟΛΟΓΙΣΜΟΙ!AW22,pin!$X$47:$AN$47,0))+0.4*(BK22-AG22)*(INDEX(pin!$X$48:$AN$84,MATCH(ΥΠΟΛΟΓΙΣΜΟΙ!BK22,pin!$V$48:$V$84,0),MATCH(ΥΠΟΛΟΓΙΣΜΟΙ!AW22,pin!$X$47:$AN$47,0))-INDEX(pin!$X$48:$AN$84,MATCH(ΥΠΟΛΟΓΙΣΜΟΙ!BL22,pin!$V$48:$V$84,0),MATCH(ΥΠΟΛΟΓΙΣΜΟΙ!AW22,pin!$X$47:$AN$47,0)))</f>
        <v>1</v>
      </c>
      <c r="BN22" s="203">
        <f>INDEX(pin!$X$48:$AN$84,MATCH(ΥΠΟΛΟΓΙΣΜΟΙ!BK22,pin!$V$48:$V$84,0),MATCH(ΥΠΟΛΟΓΙΣΜΟΙ!AX22,pin!$X$47:$AN$47,0))+0.4*(BK22-AG22)*(INDEX(pin!$X$48:$AN$84,MATCH(ΥΠΟΛΟΓΙΣΜΟΙ!BK22,pin!$V$48:$V$84,0),MATCH(ΥΠΟΛΟΓΙΣΜΟΙ!AX22,pin!$X$47:$AN$47,0))-INDEX(pin!$X$48:$AN$84,MATCH(ΥΠΟΛΟΓΙΣΜΟΙ!BL22,pin!$V$48:$V$84,0),MATCH(ΥΠΟΛΟΓΙΣΜΟΙ!AX22,pin!$X$47:$AN$47,0)))</f>
        <v>1</v>
      </c>
      <c r="BO22" s="187">
        <f t="shared" si="26"/>
        <v>0</v>
      </c>
      <c r="BP22" s="188">
        <f t="shared" si="27"/>
        <v>0</v>
      </c>
      <c r="BQ22" s="188">
        <f>INDEX(pin!$D$114:$T$132,MATCH(ΥΠΟΛΟΓΙΣΜΟΙ!BO22,pin!$B$114:$B$132,0),MATCH(ΥΠΟΛΟΓΙΣΜΟΙ!AW22,pin!$D$113:$T$113,0))+0.2*(BO22-AH22)*(INDEX(pin!$D$114:$T$132,MATCH(ΥΠΟΛΟΓΙΣΜΟΙ!BO22,pin!$B$114:$B$132,0),MATCH(ΥΠΟΛΟΓΙΣΜΟΙ!AW22,pin!$D$113:$T$113,0))-INDEX(pin!$D$114:$T$132,MATCH(ΥΠΟΛΟΓΙΣΜΟΙ!BP22,pin!$B$114:$B$132,0),MATCH(ΥΠΟΛΟΓΙΣΜΟΙ!AW22,pin!$D$113:$T$113,0)))</f>
        <v>1</v>
      </c>
      <c r="BR22" s="188">
        <f>INDEX(pin!$D$114:$T$132,MATCH(ΥΠΟΛΟΓΙΣΜΟΙ!BO22,pin!$B$114:$B$132,0),MATCH(ΥΠΟΛΟΓΙΣΜΟΙ!AX22,pin!$D$113:$T$113,0))+0.2*(BO22-AH22)*(INDEX(pin!$D$114:$T$132,MATCH(ΥΠΟΛΟΓΙΣΜΟΙ!BO22,pin!$B$114:$B$132,0),MATCH(ΥΠΟΛΟΓΙΣΜΟΙ!AX22,pin!$D$113:$T$113,0))-INDEX(pin!$D$114:$T$132,MATCH(ΥΠΟΛΟΓΙΣΜΟΙ!BP22,pin!$B$114:$B$132,0),MATCH(ΥΠΟΛΟΓΙΣΜΟΙ!AX22,pin!$D$113:$T$113,0)))</f>
        <v>1</v>
      </c>
      <c r="BS22" s="187">
        <f>INDEX(pin!$X$114:$AN$132,MATCH(ΥΠΟΛΟΓΙΣΜΟΙ!BO22,pin!$V$114:$V$132,0),MATCH(ΥΠΟΛΟΓΙΣΜΟΙ!AW22,pin!$X$113:$AN$113,0))+0.2*(BO22-AH22)*(INDEX(pin!$X$114:$AN$132,MATCH(ΥΠΟΛΟΓΙΣΜΟΙ!BO22,pin!$V$114:$V$132,0),MATCH(ΥΠΟΛΟΓΙΣΜΟΙ!AW22,pin!$X$113:$AN$113,0))-INDEX(pin!$X$114:$AN$132,MATCH(ΥΠΟΛΟΓΙΣΜΟΙ!BP22,pin!$V$114:$V$132,0),MATCH(ΥΠΟΛΟΓΙΣΜΟΙ!AW22,pin!$X$113:$AN$113,0)))</f>
        <v>1</v>
      </c>
      <c r="BT22" s="203">
        <f>INDEX(pin!$X$114:$AN$132,MATCH(ΥΠΟΛΟΓΙΣΜΟΙ!BO22,pin!$V$114:$V$132,0),MATCH(ΥΠΟΛΟΓΙΣΜΟΙ!AX22,pin!$X$113:$AN$113,0))+0.2*(BO22-AH22)*(INDEX(pin!$X$114:$AN$132,MATCH(ΥΠΟΛΟΓΙΣΜΟΙ!BO22,pin!$V$114:$V$132,0),MATCH(ΥΠΟΛΟΓΙΣΜΟΙ!AX22,pin!$X$113:$AN$113,0))-INDEX(pin!$X$114:$AN$132,MATCH(ΥΠΟΛΟΓΙΣΜΟΙ!BP22,pin!$V$114:$V$132,0),MATCH(ΥΠΟΛΟΓΙΣΜΟΙ!AX22,pin!$X$113:$AN$113,0)))</f>
        <v>1</v>
      </c>
      <c r="BU22" s="187">
        <f t="shared" si="28"/>
        <v>0</v>
      </c>
      <c r="BV22" s="188">
        <f t="shared" si="29"/>
        <v>0</v>
      </c>
      <c r="BW22" s="188">
        <f>INDEX(pin!$D$90:$T$108,MATCH(ΥΠΟΛΟΓΙΣΜΟΙ!BU22,pin!$B$90:$B$108,0),MATCH(ΥΠΟΛΟΓΙΣΜΟΙ!AW22,pin!$D$89:$T$89,0))+0.2*(BU22-AI22)*(INDEX(pin!$D$90:$T$108,MATCH(ΥΠΟΛΟΓΙΣΜΟΙ!BU22,pin!$B$90:$B$108,0),MATCH(ΥΠΟΛΟΓΙΣΜΟΙ!AW22,pin!$D$89:$T$89,0))-INDEX(pin!$D$90:$T$108,MATCH(ΥΠΟΛΟΓΙΣΜΟΙ!BV22,pin!$B$90:$B$108,0),MATCH(ΥΠΟΛΟΓΙΣΜΟΙ!AW22,pin!$D$89:$T$89,0)))</f>
        <v>1</v>
      </c>
      <c r="BX22" s="203">
        <f>INDEX(pin!$D$90:$T$108,MATCH(ΥΠΟΛΟΓΙΣΜΟΙ!BU22,pin!$B$90:$B$108,0),MATCH(ΥΠΟΛΟΓΙΣΜΟΙ!AX22,pin!$D$89:$T$89,0))+0.2*(BU22-AI22)*(INDEX(pin!$D$90:$T$108,MATCH(ΥΠΟΛΟΓΙΣΜΟΙ!BU22,pin!$B$90:$B$108,0),MATCH(ΥΠΟΛΟΓΙΣΜΟΙ!AX22,pin!$D$89:$T$89,0))-INDEX(pin!$D$90:$T$108,MATCH(ΥΠΟΛΟΓΙΣΜΟΙ!BV22,pin!$B$90:$B$108,0),MATCH(ΥΠΟΛΟΓΙΣΜΟΙ!AX22,pin!$D$89:$T$89,0)))</f>
        <v>1</v>
      </c>
      <c r="BY22" s="188">
        <f>INDEX(pin!$X$90:$AN$108,MATCH(ΥΠΟΛΟΓΙΣΜΟΙ!BU22,pin!$V$90:$V$108,0),MATCH(ΥΠΟΛΟΓΙΣΜΟΙ!AW22,pin!$X$89:$AN$89,0))+0.2*(BU22-AI22)*(INDEX(pin!$X$90:$AN$108,MATCH(ΥΠΟΛΟΓΙΣΜΟΙ!BU22,pin!$V$90:$V$108,0),MATCH(ΥΠΟΛΟΓΙΣΜΟΙ!AW22,pin!$X$89:$AN$89,0))-INDEX(pin!$X$90:$AN$108,MATCH(ΥΠΟΛΟΓΙΣΜΟΙ!BV22,pin!$V$90:$V$108,0),MATCH(ΥΠΟΛΟΓΙΣΜΟΙ!AW22,pin!$X$89:$AN$89,0)))</f>
        <v>1</v>
      </c>
      <c r="BZ22" s="203">
        <f>INDEX(pin!$X$90:$AN$108,MATCH(ΥΠΟΛΟΓΙΣΜΟΙ!BU22,pin!$V$90:$V$108,0),MATCH(ΥΠΟΛΟΓΙΣΜΟΙ!AX22,pin!$X$89:$AN$89,0))+0.2*(BU22-AI22)*(INDEX(pin!$X$90:$AN$108,MATCH(ΥΠΟΛΟΓΙΣΜΟΙ!BU22,pin!$V$90:$V$108,0),MATCH(ΥΠΟΛΟΓΙΣΜΟΙ!AX22,pin!$X$89:$AN$89,0))-INDEX(pin!$X$90:$AN$108,MATCH(ΥΠΟΛΟΓΙΣΜΟΙ!BV22,pin!$V$90:$V$108,0),MATCH(ΥΠΟΛΟΓΙΣΜΟΙ!AX22,pin!$X$89:$AN$89,0)))</f>
        <v>1</v>
      </c>
      <c r="CA22" s="191"/>
      <c r="DF22" s="232"/>
      <c r="DI22" s="232"/>
    </row>
    <row r="23" spans="1:119">
      <c r="A23" s="56">
        <v>7</v>
      </c>
      <c r="B23" s="118"/>
      <c r="C23" s="116"/>
      <c r="D23" s="116"/>
      <c r="E23" s="47" t="str">
        <f t="shared" si="1"/>
        <v>-</v>
      </c>
      <c r="F23" s="116"/>
      <c r="G23" s="239" t="str">
        <f t="shared" si="2"/>
        <v>-</v>
      </c>
      <c r="H23" s="240"/>
      <c r="I23" s="116"/>
      <c r="J23" s="116"/>
      <c r="K23" s="236" t="str">
        <f t="shared" si="3"/>
        <v>-</v>
      </c>
      <c r="L23" s="235"/>
      <c r="M23" s="235"/>
      <c r="N23" s="529" t="s">
        <v>671</v>
      </c>
      <c r="O23" s="46">
        <f t="shared" si="4"/>
        <v>1</v>
      </c>
      <c r="P23" s="120">
        <f t="shared" si="30"/>
        <v>1</v>
      </c>
      <c r="Q23" s="46">
        <f t="shared" si="5"/>
        <v>1</v>
      </c>
      <c r="R23" s="120">
        <f t="shared" si="6"/>
        <v>1</v>
      </c>
      <c r="S23" s="46">
        <f t="shared" si="7"/>
        <v>1</v>
      </c>
      <c r="T23" s="120">
        <f t="shared" si="8"/>
        <v>1</v>
      </c>
      <c r="U23" s="121"/>
      <c r="V23" s="122"/>
      <c r="W23" s="116"/>
      <c r="X23" s="117"/>
      <c r="Y23" s="163"/>
      <c r="Z23" s="122"/>
      <c r="AA23" s="116"/>
      <c r="AB23" s="116"/>
      <c r="AC23" s="121"/>
      <c r="AD23" s="117"/>
      <c r="AE23" s="204">
        <f t="shared" si="0"/>
        <v>0</v>
      </c>
      <c r="AF23" s="180">
        <f t="shared" si="9"/>
        <v>0</v>
      </c>
      <c r="AG23" s="180">
        <f t="shared" si="10"/>
        <v>0</v>
      </c>
      <c r="AH23" s="180">
        <f t="shared" si="11"/>
        <v>0</v>
      </c>
      <c r="AI23" s="180">
        <f t="shared" si="12"/>
        <v>0</v>
      </c>
      <c r="AJ23" s="181">
        <f t="shared" si="13"/>
        <v>1</v>
      </c>
      <c r="AK23" s="181">
        <f t="shared" si="14"/>
        <v>1</v>
      </c>
      <c r="AL23" s="181">
        <f t="shared" si="15"/>
        <v>1</v>
      </c>
      <c r="AM23" s="181">
        <f t="shared" si="16"/>
        <v>1</v>
      </c>
      <c r="AN23" s="187">
        <f t="shared" si="17"/>
        <v>0</v>
      </c>
      <c r="AO23" s="188"/>
      <c r="AP23" s="188"/>
      <c r="AQ23" s="188"/>
      <c r="AR23" s="188"/>
      <c r="AS23" s="188"/>
      <c r="AT23" s="188"/>
      <c r="AU23" s="188"/>
      <c r="AV23" s="188" t="s">
        <v>256</v>
      </c>
      <c r="AW23" s="188">
        <f t="shared" si="18"/>
        <v>0</v>
      </c>
      <c r="AX23" s="203">
        <f t="shared" si="19"/>
        <v>0</v>
      </c>
      <c r="AY23" s="187">
        <f t="shared" si="20"/>
        <v>0</v>
      </c>
      <c r="AZ23" s="188">
        <f t="shared" si="21"/>
        <v>0</v>
      </c>
      <c r="BA23" s="188">
        <f>INDEX(pin!$D$6:$T$42,MATCH(ΥΠΟΛΟΓΙΣΜΟΙ!AY23,pin!$B$6:$B$42,0),MATCH(ΥΠΟΛΟΓΙΣΜΟΙ!AW23,pin!$D$5:$T$5,0))+0.4*(AY23-AE23)*(INDEX(pin!$D$6:$T$42,MATCH(ΥΠΟΛΟΓΙΣΜΟΙ!AY23,pin!$B$6:$B$42,0),MATCH(ΥΠΟΛΟΓΙΣΜΟΙ!AW23,pin!$D$5:$T$5,0))-INDEX(pin!$D$6:$T$42,MATCH(ΥΠΟΛΟΓΙΣΜΟΙ!AZ23,pin!$B$6:$B$42,0),MATCH(ΥΠΟΛΟΓΙΣΜΟΙ!AW23,pin!$D$5:$T$5,0)))</f>
        <v>1</v>
      </c>
      <c r="BB23" s="203">
        <f>INDEX(pin!$D$6:$T$42,MATCH(ΥΠΟΛΟΓΙΣΜΟΙ!AY23,pin!$B$6:$B$42,0),MATCH(ΥΠΟΛΟΓΙΣΜΟΙ!AX23,pin!$D$5:$T$5,0))+0.4*(AY23-AE23)*(INDEX(pin!$D$6:$T$42,MATCH(ΥΠΟΛΟΓΙΣΜΟΙ!AY23,pin!$B$6:$B$42,0),MATCH(ΥΠΟΛΟΓΙΣΜΟΙ!AX23,pin!$D$5:$T$5,0))-INDEX(pin!$D$6:$T$42,MATCH(ΥΠΟΛΟΓΙΣΜΟΙ!AZ23,pin!$B$6:$B$42,0),MATCH(ΥΠΟΛΟΓΙΣΜΟΙ!AX23,pin!$D$5:$T$5,0)))</f>
        <v>1</v>
      </c>
      <c r="BC23" s="188">
        <f>INDEX(pin!$X$6:$AN$42,MATCH(ΥΠΟΛΟΓΙΣΜΟΙ!AY23,pin!$V$6:$V$42,0),MATCH(ΥΠΟΛΟΓΙΣΜΟΙ!AW23,pin!$X$5:$AN$5,0))+0.4*(AY23-AE23)*(INDEX(pin!$X$6:$AN$42,MATCH(ΥΠΟΛΟΓΙΣΜΟΙ!AY23,pin!$V$6:$V$42,0),MATCH(ΥΠΟΛΟΓΙΣΜΟΙ!AW23,pin!$X$5:$AN$5,0))-INDEX(pin!$X$6:$AN$42,MATCH(ΥΠΟΛΟΓΙΣΜΟΙ!AZ23,pin!$V$6:$V$42,0),MATCH(ΥΠΟΛΟΓΙΣΜΟΙ!AW23,pin!$X$5:$AN$5,0)))</f>
        <v>1</v>
      </c>
      <c r="BD23" s="188">
        <f>INDEX(pin!$X$6:$AN$42,MATCH(ΥΠΟΛΟΓΙΣΜΟΙ!AY23,pin!$V$6:$V$42,0),MATCH(ΥΠΟΛΟΓΙΣΜΟΙ!AX23,pin!$X$5:$AN$5,0))+0.4*(AY23-AE23)*(INDEX(pin!$X$6:$AN$42,MATCH(ΥΠΟΛΟΓΙΣΜΟΙ!AY23,pin!$V$6:$V$42,0),MATCH(ΥΠΟΛΟΓΙΣΜΟΙ!AX23,pin!$X$5:$AN$5,0))-INDEX(pin!$X$6:$AN$42,MATCH(ΥΠΟΛΟΓΙΣΜΟΙ!AZ23,pin!$V$6:$V$42,0),MATCH(ΥΠΟΛΟΓΙΣΜΟΙ!AX23,pin!$X$5:$AN$5,0)))</f>
        <v>1</v>
      </c>
      <c r="BE23" s="187">
        <f t="shared" si="22"/>
        <v>0</v>
      </c>
      <c r="BF23" s="188">
        <f t="shared" si="23"/>
        <v>0</v>
      </c>
      <c r="BG23" s="188">
        <f>INDEX(pin!$D$48:$T$84,MATCH(ΥΠΟΛΟΓΙΣΜΟΙ!BE23,pin!$B$48:$B$84,0),MATCH(ΥΠΟΛΟΓΙΣΜΟΙ!AW23,pin!$D$47:$T$47,0))+0.4*(BE23-AF23)*(INDEX(pin!$D$48:$T$84,MATCH(ΥΠΟΛΟΓΙΣΜΟΙ!BE23,pin!$B$48:$B$84,0),MATCH(ΥΠΟΛΟΓΙΣΜΟΙ!AW23,pin!$D$47:$T$47,0))-INDEX(pin!$D$48:$T$84,MATCH(ΥΠΟΛΟΓΙΣΜΟΙ!BF23,pin!$B$48:$B$84,0),MATCH(ΥΠΟΛΟΓΙΣΜΟΙ!AW23,pin!$D$47:$T$47,0)))</f>
        <v>1</v>
      </c>
      <c r="BH23" s="188">
        <f>INDEX(pin!$D$48:$T$84,MATCH(ΥΠΟΛΟΓΙΣΜΟΙ!BE23,pin!$B$48:$B$84,0),MATCH(ΥΠΟΛΟΓΙΣΜΟΙ!AX23,pin!$D$47:$T$47,0))+0.4*(BE23-AF23)*(INDEX(pin!$D$48:$T$84,MATCH(ΥΠΟΛΟΓΙΣΜΟΙ!BE23,pin!$B$48:$B$84,0),MATCH(ΥΠΟΛΟΓΙΣΜΟΙ!AX23,pin!$D$47:$T$47,0))-INDEX(pin!$D$48:$T$84,MATCH(ΥΠΟΛΟΓΙΣΜΟΙ!BF23,pin!$B$48:$B$84,0),MATCH(ΥΠΟΛΟΓΙΣΜΟΙ!AX23,pin!$D$47:$T$47,0)))</f>
        <v>1</v>
      </c>
      <c r="BI23" s="187">
        <f>INDEX(pin!$X$48:$AN$84,MATCH(ΥΠΟΛΟΓΙΣΜΟΙ!BE23,pin!$V$48:$V$84,0),MATCH(ΥΠΟΛΟΓΙΣΜΟΙ!AW23,pin!$X$47:$AN$47,0))+0.4*(BE23-AF23)*(INDEX(pin!$X$48:$AN$84,MATCH(ΥΠΟΛΟΓΙΣΜΟΙ!BE23,pin!$V$48:$V$84,0),MATCH(ΥΠΟΛΟΓΙΣΜΟΙ!AW23,pin!$X$47:$AN$47,0))-INDEX(pin!$X$48:$AN$84,MATCH(ΥΠΟΛΟΓΙΣΜΟΙ!BF23,pin!$V$48:$V$84,0),MATCH(ΥΠΟΛΟΓΙΣΜΟΙ!AW23,pin!$X$47:$AN$47,0)))</f>
        <v>1</v>
      </c>
      <c r="BJ23" s="203">
        <f>INDEX(pin!$X$48:$AN$84,MATCH(ΥΠΟΛΟΓΙΣΜΟΙ!BE23,pin!$V$48:$V$84,0),MATCH(ΥΠΟΛΟΓΙΣΜΟΙ!AX23,pin!$X$47:$AN$47,0))+0.4*(BE23-AF23)*(INDEX(pin!$X$48:$AN$84,MATCH(ΥΠΟΛΟΓΙΣΜΟΙ!BE23,pin!$V$48:$V$84,0),MATCH(ΥΠΟΛΟΓΙΣΜΟΙ!AX23,pin!$X$47:$AN$47,0))-INDEX(pin!$X$48:$AN$84,MATCH(ΥΠΟΛΟΓΙΣΜΟΙ!BF23,pin!$V$48:$V$84,0),MATCH(ΥΠΟΛΟΓΙΣΜΟΙ!AX23,pin!$X$47:$AN$47,0)))</f>
        <v>1</v>
      </c>
      <c r="BK23" s="187">
        <f t="shared" si="24"/>
        <v>0</v>
      </c>
      <c r="BL23" s="188">
        <f t="shared" si="25"/>
        <v>0</v>
      </c>
      <c r="BM23" s="188">
        <f>INDEX(pin!$X$48:$AN$84,MATCH(ΥΠΟΛΟΓΙΣΜΟΙ!BK23,pin!$V$48:$V$84,0),MATCH(ΥΠΟΛΟΓΙΣΜΟΙ!AW23,pin!$X$47:$AN$47,0))+0.4*(BK23-AG23)*(INDEX(pin!$X$48:$AN$84,MATCH(ΥΠΟΛΟΓΙΣΜΟΙ!BK23,pin!$V$48:$V$84,0),MATCH(ΥΠΟΛΟΓΙΣΜΟΙ!AW23,pin!$X$47:$AN$47,0))-INDEX(pin!$X$48:$AN$84,MATCH(ΥΠΟΛΟΓΙΣΜΟΙ!BL23,pin!$V$48:$V$84,0),MATCH(ΥΠΟΛΟΓΙΣΜΟΙ!AW23,pin!$X$47:$AN$47,0)))</f>
        <v>1</v>
      </c>
      <c r="BN23" s="203">
        <f>INDEX(pin!$X$48:$AN$84,MATCH(ΥΠΟΛΟΓΙΣΜΟΙ!BK23,pin!$V$48:$V$84,0),MATCH(ΥΠΟΛΟΓΙΣΜΟΙ!AX23,pin!$X$47:$AN$47,0))+0.4*(BK23-AG23)*(INDEX(pin!$X$48:$AN$84,MATCH(ΥΠΟΛΟΓΙΣΜΟΙ!BK23,pin!$V$48:$V$84,0),MATCH(ΥΠΟΛΟΓΙΣΜΟΙ!AX23,pin!$X$47:$AN$47,0))-INDEX(pin!$X$48:$AN$84,MATCH(ΥΠΟΛΟΓΙΣΜΟΙ!BL23,pin!$V$48:$V$84,0),MATCH(ΥΠΟΛΟΓΙΣΜΟΙ!AX23,pin!$X$47:$AN$47,0)))</f>
        <v>1</v>
      </c>
      <c r="BO23" s="187">
        <f t="shared" si="26"/>
        <v>0</v>
      </c>
      <c r="BP23" s="188">
        <f t="shared" si="27"/>
        <v>0</v>
      </c>
      <c r="BQ23" s="188">
        <f>INDEX(pin!$D$114:$T$132,MATCH(ΥΠΟΛΟΓΙΣΜΟΙ!BO23,pin!$B$114:$B$132,0),MATCH(ΥΠΟΛΟΓΙΣΜΟΙ!AW23,pin!$D$113:$T$113,0))+0.2*(BO23-AH23)*(INDEX(pin!$D$114:$T$132,MATCH(ΥΠΟΛΟΓΙΣΜΟΙ!BO23,pin!$B$114:$B$132,0),MATCH(ΥΠΟΛΟΓΙΣΜΟΙ!AW23,pin!$D$113:$T$113,0))-INDEX(pin!$D$114:$T$132,MATCH(ΥΠΟΛΟΓΙΣΜΟΙ!BP23,pin!$B$114:$B$132,0),MATCH(ΥΠΟΛΟΓΙΣΜΟΙ!AW23,pin!$D$113:$T$113,0)))</f>
        <v>1</v>
      </c>
      <c r="BR23" s="188">
        <f>INDEX(pin!$D$114:$T$132,MATCH(ΥΠΟΛΟΓΙΣΜΟΙ!BO23,pin!$B$114:$B$132,0),MATCH(ΥΠΟΛΟΓΙΣΜΟΙ!AX23,pin!$D$113:$T$113,0))+0.2*(BO23-AH23)*(INDEX(pin!$D$114:$T$132,MATCH(ΥΠΟΛΟΓΙΣΜΟΙ!BO23,pin!$B$114:$B$132,0),MATCH(ΥΠΟΛΟΓΙΣΜΟΙ!AX23,pin!$D$113:$T$113,0))-INDEX(pin!$D$114:$T$132,MATCH(ΥΠΟΛΟΓΙΣΜΟΙ!BP23,pin!$B$114:$B$132,0),MATCH(ΥΠΟΛΟΓΙΣΜΟΙ!AX23,pin!$D$113:$T$113,0)))</f>
        <v>1</v>
      </c>
      <c r="BS23" s="187">
        <f>INDEX(pin!$X$114:$AN$132,MATCH(ΥΠΟΛΟΓΙΣΜΟΙ!BO23,pin!$V$114:$V$132,0),MATCH(ΥΠΟΛΟΓΙΣΜΟΙ!AW23,pin!$X$113:$AN$113,0))+0.2*(BO23-AH23)*(INDEX(pin!$X$114:$AN$132,MATCH(ΥΠΟΛΟΓΙΣΜΟΙ!BO23,pin!$V$114:$V$132,0),MATCH(ΥΠΟΛΟΓΙΣΜΟΙ!AW23,pin!$X$113:$AN$113,0))-INDEX(pin!$X$114:$AN$132,MATCH(ΥΠΟΛΟΓΙΣΜΟΙ!BP23,pin!$V$114:$V$132,0),MATCH(ΥΠΟΛΟΓΙΣΜΟΙ!AW23,pin!$X$113:$AN$113,0)))</f>
        <v>1</v>
      </c>
      <c r="BT23" s="203">
        <f>INDEX(pin!$X$114:$AN$132,MATCH(ΥΠΟΛΟΓΙΣΜΟΙ!BO23,pin!$V$114:$V$132,0),MATCH(ΥΠΟΛΟΓΙΣΜΟΙ!AX23,pin!$X$113:$AN$113,0))+0.2*(BO23-AH23)*(INDEX(pin!$X$114:$AN$132,MATCH(ΥΠΟΛΟΓΙΣΜΟΙ!BO23,pin!$V$114:$V$132,0),MATCH(ΥΠΟΛΟΓΙΣΜΟΙ!AX23,pin!$X$113:$AN$113,0))-INDEX(pin!$X$114:$AN$132,MATCH(ΥΠΟΛΟΓΙΣΜΟΙ!BP23,pin!$V$114:$V$132,0),MATCH(ΥΠΟΛΟΓΙΣΜΟΙ!AX23,pin!$X$113:$AN$113,0)))</f>
        <v>1</v>
      </c>
      <c r="BU23" s="187">
        <f t="shared" si="28"/>
        <v>0</v>
      </c>
      <c r="BV23" s="188">
        <f t="shared" si="29"/>
        <v>0</v>
      </c>
      <c r="BW23" s="188">
        <f>INDEX(pin!$D$90:$T$108,MATCH(ΥΠΟΛΟΓΙΣΜΟΙ!BU23,pin!$B$90:$B$108,0),MATCH(ΥΠΟΛΟΓΙΣΜΟΙ!AW23,pin!$D$89:$T$89,0))+0.2*(BU23-AI23)*(INDEX(pin!$D$90:$T$108,MATCH(ΥΠΟΛΟΓΙΣΜΟΙ!BU23,pin!$B$90:$B$108,0),MATCH(ΥΠΟΛΟΓΙΣΜΟΙ!AW23,pin!$D$89:$T$89,0))-INDEX(pin!$D$90:$T$108,MATCH(ΥΠΟΛΟΓΙΣΜΟΙ!BV23,pin!$B$90:$B$108,0),MATCH(ΥΠΟΛΟΓΙΣΜΟΙ!AW23,pin!$D$89:$T$89,0)))</f>
        <v>1</v>
      </c>
      <c r="BX23" s="203">
        <f>INDEX(pin!$D$90:$T$108,MATCH(ΥΠΟΛΟΓΙΣΜΟΙ!BU23,pin!$B$90:$B$108,0),MATCH(ΥΠΟΛΟΓΙΣΜΟΙ!AX23,pin!$D$89:$T$89,0))+0.2*(BU23-AI23)*(INDEX(pin!$D$90:$T$108,MATCH(ΥΠΟΛΟΓΙΣΜΟΙ!BU23,pin!$B$90:$B$108,0),MATCH(ΥΠΟΛΟΓΙΣΜΟΙ!AX23,pin!$D$89:$T$89,0))-INDEX(pin!$D$90:$T$108,MATCH(ΥΠΟΛΟΓΙΣΜΟΙ!BV23,pin!$B$90:$B$108,0),MATCH(ΥΠΟΛΟΓΙΣΜΟΙ!AX23,pin!$D$89:$T$89,0)))</f>
        <v>1</v>
      </c>
      <c r="BY23" s="188">
        <f>INDEX(pin!$X$90:$AN$108,MATCH(ΥΠΟΛΟΓΙΣΜΟΙ!BU23,pin!$V$90:$V$108,0),MATCH(ΥΠΟΛΟΓΙΣΜΟΙ!AW23,pin!$X$89:$AN$89,0))+0.2*(BU23-AI23)*(INDEX(pin!$X$90:$AN$108,MATCH(ΥΠΟΛΟΓΙΣΜΟΙ!BU23,pin!$V$90:$V$108,0),MATCH(ΥΠΟΛΟΓΙΣΜΟΙ!AW23,pin!$X$89:$AN$89,0))-INDEX(pin!$X$90:$AN$108,MATCH(ΥΠΟΛΟΓΙΣΜΟΙ!BV23,pin!$V$90:$V$108,0),MATCH(ΥΠΟΛΟΓΙΣΜΟΙ!AW23,pin!$X$89:$AN$89,0)))</f>
        <v>1</v>
      </c>
      <c r="BZ23" s="203">
        <f>INDEX(pin!$X$90:$AN$108,MATCH(ΥΠΟΛΟΓΙΣΜΟΙ!BU23,pin!$V$90:$V$108,0),MATCH(ΥΠΟΛΟΓΙΣΜΟΙ!AX23,pin!$X$89:$AN$89,0))+0.2*(BU23-AI23)*(INDEX(pin!$X$90:$AN$108,MATCH(ΥΠΟΛΟΓΙΣΜΟΙ!BU23,pin!$V$90:$V$108,0),MATCH(ΥΠΟΛΟΓΙΣΜΟΙ!AX23,pin!$X$89:$AN$89,0))-INDEX(pin!$X$90:$AN$108,MATCH(ΥΠΟΛΟΓΙΣΜΟΙ!BV23,pin!$V$90:$V$108,0),MATCH(ΥΠΟΛΟΓΙΣΜΟΙ!AX23,pin!$X$89:$AN$89,0)))</f>
        <v>1</v>
      </c>
      <c r="CA23" s="191"/>
      <c r="DF23" s="232"/>
      <c r="DI23" s="232"/>
    </row>
    <row r="24" spans="1:119">
      <c r="A24" s="56">
        <v>8</v>
      </c>
      <c r="B24" s="118"/>
      <c r="C24" s="116"/>
      <c r="D24" s="116"/>
      <c r="E24" s="47" t="str">
        <f t="shared" si="1"/>
        <v>-</v>
      </c>
      <c r="F24" s="116"/>
      <c r="G24" s="239" t="str">
        <f t="shared" si="2"/>
        <v>-</v>
      </c>
      <c r="H24" s="240"/>
      <c r="I24" s="116"/>
      <c r="J24" s="116"/>
      <c r="K24" s="236" t="str">
        <f t="shared" si="3"/>
        <v>-</v>
      </c>
      <c r="L24" s="235"/>
      <c r="M24" s="235"/>
      <c r="N24" s="529" t="s">
        <v>671</v>
      </c>
      <c r="O24" s="46">
        <f t="shared" si="4"/>
        <v>1</v>
      </c>
      <c r="P24" s="120">
        <f t="shared" si="30"/>
        <v>1</v>
      </c>
      <c r="Q24" s="46">
        <f t="shared" si="5"/>
        <v>1</v>
      </c>
      <c r="R24" s="120">
        <f t="shared" si="6"/>
        <v>1</v>
      </c>
      <c r="S24" s="46">
        <f t="shared" si="7"/>
        <v>1</v>
      </c>
      <c r="T24" s="120">
        <f t="shared" si="8"/>
        <v>1</v>
      </c>
      <c r="U24" s="121"/>
      <c r="V24" s="122"/>
      <c r="W24" s="116"/>
      <c r="X24" s="117"/>
      <c r="Y24" s="163"/>
      <c r="Z24" s="122"/>
      <c r="AA24" s="116"/>
      <c r="AB24" s="116"/>
      <c r="AC24" s="121"/>
      <c r="AD24" s="117"/>
      <c r="AE24" s="204">
        <f t="shared" si="0"/>
        <v>0</v>
      </c>
      <c r="AF24" s="180">
        <f t="shared" si="9"/>
        <v>0</v>
      </c>
      <c r="AG24" s="180">
        <f t="shared" si="10"/>
        <v>0</v>
      </c>
      <c r="AH24" s="180">
        <f t="shared" si="11"/>
        <v>0</v>
      </c>
      <c r="AI24" s="180">
        <f t="shared" si="12"/>
        <v>0</v>
      </c>
      <c r="AJ24" s="181">
        <f t="shared" si="13"/>
        <v>1</v>
      </c>
      <c r="AK24" s="181">
        <f t="shared" si="14"/>
        <v>1</v>
      </c>
      <c r="AL24" s="181">
        <f t="shared" si="15"/>
        <v>1</v>
      </c>
      <c r="AM24" s="181">
        <f t="shared" si="16"/>
        <v>1</v>
      </c>
      <c r="AN24" s="187">
        <f t="shared" si="17"/>
        <v>0</v>
      </c>
      <c r="AO24" s="188"/>
      <c r="AP24" s="188"/>
      <c r="AQ24" s="188"/>
      <c r="AR24" s="188"/>
      <c r="AS24" s="188"/>
      <c r="AT24" s="188"/>
      <c r="AU24" s="188"/>
      <c r="AV24" s="188" t="s">
        <v>256</v>
      </c>
      <c r="AW24" s="188">
        <f t="shared" si="18"/>
        <v>0</v>
      </c>
      <c r="AX24" s="203">
        <f t="shared" si="19"/>
        <v>0</v>
      </c>
      <c r="AY24" s="187">
        <f t="shared" si="20"/>
        <v>0</v>
      </c>
      <c r="AZ24" s="188">
        <f t="shared" si="21"/>
        <v>0</v>
      </c>
      <c r="BA24" s="188">
        <f>INDEX(pin!$D$6:$T$42,MATCH(ΥΠΟΛΟΓΙΣΜΟΙ!AY24,pin!$B$6:$B$42,0),MATCH(ΥΠΟΛΟΓΙΣΜΟΙ!AW24,pin!$D$5:$T$5,0))+0.4*(AY24-AE24)*(INDEX(pin!$D$6:$T$42,MATCH(ΥΠΟΛΟΓΙΣΜΟΙ!AY24,pin!$B$6:$B$42,0),MATCH(ΥΠΟΛΟΓΙΣΜΟΙ!AW24,pin!$D$5:$T$5,0))-INDEX(pin!$D$6:$T$42,MATCH(ΥΠΟΛΟΓΙΣΜΟΙ!AZ24,pin!$B$6:$B$42,0),MATCH(ΥΠΟΛΟΓΙΣΜΟΙ!AW24,pin!$D$5:$T$5,0)))</f>
        <v>1</v>
      </c>
      <c r="BB24" s="203">
        <f>INDEX(pin!$D$6:$T$42,MATCH(ΥΠΟΛΟΓΙΣΜΟΙ!AY24,pin!$B$6:$B$42,0),MATCH(ΥΠΟΛΟΓΙΣΜΟΙ!AX24,pin!$D$5:$T$5,0))+0.4*(AY24-AE24)*(INDEX(pin!$D$6:$T$42,MATCH(ΥΠΟΛΟΓΙΣΜΟΙ!AY24,pin!$B$6:$B$42,0),MATCH(ΥΠΟΛΟΓΙΣΜΟΙ!AX24,pin!$D$5:$T$5,0))-INDEX(pin!$D$6:$T$42,MATCH(ΥΠΟΛΟΓΙΣΜΟΙ!AZ24,pin!$B$6:$B$42,0),MATCH(ΥΠΟΛΟΓΙΣΜΟΙ!AX24,pin!$D$5:$T$5,0)))</f>
        <v>1</v>
      </c>
      <c r="BC24" s="188">
        <f>INDEX(pin!$X$6:$AN$42,MATCH(ΥΠΟΛΟΓΙΣΜΟΙ!AY24,pin!$V$6:$V$42,0),MATCH(ΥΠΟΛΟΓΙΣΜΟΙ!AW24,pin!$X$5:$AN$5,0))+0.4*(AY24-AE24)*(INDEX(pin!$X$6:$AN$42,MATCH(ΥΠΟΛΟΓΙΣΜΟΙ!AY24,pin!$V$6:$V$42,0),MATCH(ΥΠΟΛΟΓΙΣΜΟΙ!AW24,pin!$X$5:$AN$5,0))-INDEX(pin!$X$6:$AN$42,MATCH(ΥΠΟΛΟΓΙΣΜΟΙ!AZ24,pin!$V$6:$V$42,0),MATCH(ΥΠΟΛΟΓΙΣΜΟΙ!AW24,pin!$X$5:$AN$5,0)))</f>
        <v>1</v>
      </c>
      <c r="BD24" s="188">
        <f>INDEX(pin!$X$6:$AN$42,MATCH(ΥΠΟΛΟΓΙΣΜΟΙ!AY24,pin!$V$6:$V$42,0),MATCH(ΥΠΟΛΟΓΙΣΜΟΙ!AX24,pin!$X$5:$AN$5,0))+0.4*(AY24-AE24)*(INDEX(pin!$X$6:$AN$42,MATCH(ΥΠΟΛΟΓΙΣΜΟΙ!AY24,pin!$V$6:$V$42,0),MATCH(ΥΠΟΛΟΓΙΣΜΟΙ!AX24,pin!$X$5:$AN$5,0))-INDEX(pin!$X$6:$AN$42,MATCH(ΥΠΟΛΟΓΙΣΜΟΙ!AZ24,pin!$V$6:$V$42,0),MATCH(ΥΠΟΛΟΓΙΣΜΟΙ!AX24,pin!$X$5:$AN$5,0)))</f>
        <v>1</v>
      </c>
      <c r="BE24" s="187">
        <f t="shared" si="22"/>
        <v>0</v>
      </c>
      <c r="BF24" s="188">
        <f t="shared" si="23"/>
        <v>0</v>
      </c>
      <c r="BG24" s="188">
        <f>INDEX(pin!$D$48:$T$84,MATCH(ΥΠΟΛΟΓΙΣΜΟΙ!BE24,pin!$B$48:$B$84,0),MATCH(ΥΠΟΛΟΓΙΣΜΟΙ!AW24,pin!$D$47:$T$47,0))+0.4*(BE24-AF24)*(INDEX(pin!$D$48:$T$84,MATCH(ΥΠΟΛΟΓΙΣΜΟΙ!BE24,pin!$B$48:$B$84,0),MATCH(ΥΠΟΛΟΓΙΣΜΟΙ!AW24,pin!$D$47:$T$47,0))-INDEX(pin!$D$48:$T$84,MATCH(ΥΠΟΛΟΓΙΣΜΟΙ!BF24,pin!$B$48:$B$84,0),MATCH(ΥΠΟΛΟΓΙΣΜΟΙ!AW24,pin!$D$47:$T$47,0)))</f>
        <v>1</v>
      </c>
      <c r="BH24" s="188">
        <f>INDEX(pin!$D$48:$T$84,MATCH(ΥΠΟΛΟΓΙΣΜΟΙ!BE24,pin!$B$48:$B$84,0),MATCH(ΥΠΟΛΟΓΙΣΜΟΙ!AX24,pin!$D$47:$T$47,0))+0.4*(BE24-AF24)*(INDEX(pin!$D$48:$T$84,MATCH(ΥΠΟΛΟΓΙΣΜΟΙ!BE24,pin!$B$48:$B$84,0),MATCH(ΥΠΟΛΟΓΙΣΜΟΙ!AX24,pin!$D$47:$T$47,0))-INDEX(pin!$D$48:$T$84,MATCH(ΥΠΟΛΟΓΙΣΜΟΙ!BF24,pin!$B$48:$B$84,0),MATCH(ΥΠΟΛΟΓΙΣΜΟΙ!AX24,pin!$D$47:$T$47,0)))</f>
        <v>1</v>
      </c>
      <c r="BI24" s="187">
        <f>INDEX(pin!$X$48:$AN$84,MATCH(ΥΠΟΛΟΓΙΣΜΟΙ!BE24,pin!$V$48:$V$84,0),MATCH(ΥΠΟΛΟΓΙΣΜΟΙ!AW24,pin!$X$47:$AN$47,0))+0.4*(BE24-AF24)*(INDEX(pin!$X$48:$AN$84,MATCH(ΥΠΟΛΟΓΙΣΜΟΙ!BE24,pin!$V$48:$V$84,0),MATCH(ΥΠΟΛΟΓΙΣΜΟΙ!AW24,pin!$X$47:$AN$47,0))-INDEX(pin!$X$48:$AN$84,MATCH(ΥΠΟΛΟΓΙΣΜΟΙ!BF24,pin!$V$48:$V$84,0),MATCH(ΥΠΟΛΟΓΙΣΜΟΙ!AW24,pin!$X$47:$AN$47,0)))</f>
        <v>1</v>
      </c>
      <c r="BJ24" s="203">
        <f>INDEX(pin!$X$48:$AN$84,MATCH(ΥΠΟΛΟΓΙΣΜΟΙ!BE24,pin!$V$48:$V$84,0),MATCH(ΥΠΟΛΟΓΙΣΜΟΙ!AX24,pin!$X$47:$AN$47,0))+0.4*(BE24-AF24)*(INDEX(pin!$X$48:$AN$84,MATCH(ΥΠΟΛΟΓΙΣΜΟΙ!BE24,pin!$V$48:$V$84,0),MATCH(ΥΠΟΛΟΓΙΣΜΟΙ!AX24,pin!$X$47:$AN$47,0))-INDEX(pin!$X$48:$AN$84,MATCH(ΥΠΟΛΟΓΙΣΜΟΙ!BF24,pin!$V$48:$V$84,0),MATCH(ΥΠΟΛΟΓΙΣΜΟΙ!AX24,pin!$X$47:$AN$47,0)))</f>
        <v>1</v>
      </c>
      <c r="BK24" s="187">
        <f t="shared" si="24"/>
        <v>0</v>
      </c>
      <c r="BL24" s="188">
        <f t="shared" si="25"/>
        <v>0</v>
      </c>
      <c r="BM24" s="188">
        <f>INDEX(pin!$X$48:$AN$84,MATCH(ΥΠΟΛΟΓΙΣΜΟΙ!BK24,pin!$V$48:$V$84,0),MATCH(ΥΠΟΛΟΓΙΣΜΟΙ!AW24,pin!$X$47:$AN$47,0))+0.4*(BK24-AG24)*(INDEX(pin!$X$48:$AN$84,MATCH(ΥΠΟΛΟΓΙΣΜΟΙ!BK24,pin!$V$48:$V$84,0),MATCH(ΥΠΟΛΟΓΙΣΜΟΙ!AW24,pin!$X$47:$AN$47,0))-INDEX(pin!$X$48:$AN$84,MATCH(ΥΠΟΛΟΓΙΣΜΟΙ!BL24,pin!$V$48:$V$84,0),MATCH(ΥΠΟΛΟΓΙΣΜΟΙ!AW24,pin!$X$47:$AN$47,0)))</f>
        <v>1</v>
      </c>
      <c r="BN24" s="203">
        <f>INDEX(pin!$X$48:$AN$84,MATCH(ΥΠΟΛΟΓΙΣΜΟΙ!BK24,pin!$V$48:$V$84,0),MATCH(ΥΠΟΛΟΓΙΣΜΟΙ!AX24,pin!$X$47:$AN$47,0))+0.4*(BK24-AG24)*(INDEX(pin!$X$48:$AN$84,MATCH(ΥΠΟΛΟΓΙΣΜΟΙ!BK24,pin!$V$48:$V$84,0),MATCH(ΥΠΟΛΟΓΙΣΜΟΙ!AX24,pin!$X$47:$AN$47,0))-INDEX(pin!$X$48:$AN$84,MATCH(ΥΠΟΛΟΓΙΣΜΟΙ!BL24,pin!$V$48:$V$84,0),MATCH(ΥΠΟΛΟΓΙΣΜΟΙ!AX24,pin!$X$47:$AN$47,0)))</f>
        <v>1</v>
      </c>
      <c r="BO24" s="187">
        <f t="shared" si="26"/>
        <v>0</v>
      </c>
      <c r="BP24" s="188">
        <f t="shared" si="27"/>
        <v>0</v>
      </c>
      <c r="BQ24" s="188">
        <f>INDEX(pin!$D$114:$T$132,MATCH(ΥΠΟΛΟΓΙΣΜΟΙ!BO24,pin!$B$114:$B$132,0),MATCH(ΥΠΟΛΟΓΙΣΜΟΙ!AW24,pin!$D$113:$T$113,0))+0.2*(BO24-AH24)*(INDEX(pin!$D$114:$T$132,MATCH(ΥΠΟΛΟΓΙΣΜΟΙ!BO24,pin!$B$114:$B$132,0),MATCH(ΥΠΟΛΟΓΙΣΜΟΙ!AW24,pin!$D$113:$T$113,0))-INDEX(pin!$D$114:$T$132,MATCH(ΥΠΟΛΟΓΙΣΜΟΙ!BP24,pin!$B$114:$B$132,0),MATCH(ΥΠΟΛΟΓΙΣΜΟΙ!AW24,pin!$D$113:$T$113,0)))</f>
        <v>1</v>
      </c>
      <c r="BR24" s="188">
        <f>INDEX(pin!$D$114:$T$132,MATCH(ΥΠΟΛΟΓΙΣΜΟΙ!BO24,pin!$B$114:$B$132,0),MATCH(ΥΠΟΛΟΓΙΣΜΟΙ!AX24,pin!$D$113:$T$113,0))+0.2*(BO24-AH24)*(INDEX(pin!$D$114:$T$132,MATCH(ΥΠΟΛΟΓΙΣΜΟΙ!BO24,pin!$B$114:$B$132,0),MATCH(ΥΠΟΛΟΓΙΣΜΟΙ!AX24,pin!$D$113:$T$113,0))-INDEX(pin!$D$114:$T$132,MATCH(ΥΠΟΛΟΓΙΣΜΟΙ!BP24,pin!$B$114:$B$132,0),MATCH(ΥΠΟΛΟΓΙΣΜΟΙ!AX24,pin!$D$113:$T$113,0)))</f>
        <v>1</v>
      </c>
      <c r="BS24" s="187">
        <f>INDEX(pin!$X$114:$AN$132,MATCH(ΥΠΟΛΟΓΙΣΜΟΙ!BO24,pin!$V$114:$V$132,0),MATCH(ΥΠΟΛΟΓΙΣΜΟΙ!AW24,pin!$X$113:$AN$113,0))+0.2*(BO24-AH24)*(INDEX(pin!$X$114:$AN$132,MATCH(ΥΠΟΛΟΓΙΣΜΟΙ!BO24,pin!$V$114:$V$132,0),MATCH(ΥΠΟΛΟΓΙΣΜΟΙ!AW24,pin!$X$113:$AN$113,0))-INDEX(pin!$X$114:$AN$132,MATCH(ΥΠΟΛΟΓΙΣΜΟΙ!BP24,pin!$V$114:$V$132,0),MATCH(ΥΠΟΛΟΓΙΣΜΟΙ!AW24,pin!$X$113:$AN$113,0)))</f>
        <v>1</v>
      </c>
      <c r="BT24" s="203">
        <f>INDEX(pin!$X$114:$AN$132,MATCH(ΥΠΟΛΟΓΙΣΜΟΙ!BO24,pin!$V$114:$V$132,0),MATCH(ΥΠΟΛΟΓΙΣΜΟΙ!AX24,pin!$X$113:$AN$113,0))+0.2*(BO24-AH24)*(INDEX(pin!$X$114:$AN$132,MATCH(ΥΠΟΛΟΓΙΣΜΟΙ!BO24,pin!$V$114:$V$132,0),MATCH(ΥΠΟΛΟΓΙΣΜΟΙ!AX24,pin!$X$113:$AN$113,0))-INDEX(pin!$X$114:$AN$132,MATCH(ΥΠΟΛΟΓΙΣΜΟΙ!BP24,pin!$V$114:$V$132,0),MATCH(ΥΠΟΛΟΓΙΣΜΟΙ!AX24,pin!$X$113:$AN$113,0)))</f>
        <v>1</v>
      </c>
      <c r="BU24" s="187">
        <f t="shared" si="28"/>
        <v>0</v>
      </c>
      <c r="BV24" s="188">
        <f t="shared" si="29"/>
        <v>0</v>
      </c>
      <c r="BW24" s="188">
        <f>INDEX(pin!$D$90:$T$108,MATCH(ΥΠΟΛΟΓΙΣΜΟΙ!BU24,pin!$B$90:$B$108,0),MATCH(ΥΠΟΛΟΓΙΣΜΟΙ!AW24,pin!$D$89:$T$89,0))+0.2*(BU24-AI24)*(INDEX(pin!$D$90:$T$108,MATCH(ΥΠΟΛΟΓΙΣΜΟΙ!BU24,pin!$B$90:$B$108,0),MATCH(ΥΠΟΛΟΓΙΣΜΟΙ!AW24,pin!$D$89:$T$89,0))-INDEX(pin!$D$90:$T$108,MATCH(ΥΠΟΛΟΓΙΣΜΟΙ!BV24,pin!$B$90:$B$108,0),MATCH(ΥΠΟΛΟΓΙΣΜΟΙ!AW24,pin!$D$89:$T$89,0)))</f>
        <v>1</v>
      </c>
      <c r="BX24" s="203">
        <f>INDEX(pin!$D$90:$T$108,MATCH(ΥΠΟΛΟΓΙΣΜΟΙ!BU24,pin!$B$90:$B$108,0),MATCH(ΥΠΟΛΟΓΙΣΜΟΙ!AX24,pin!$D$89:$T$89,0))+0.2*(BU24-AI24)*(INDEX(pin!$D$90:$T$108,MATCH(ΥΠΟΛΟΓΙΣΜΟΙ!BU24,pin!$B$90:$B$108,0),MATCH(ΥΠΟΛΟΓΙΣΜΟΙ!AX24,pin!$D$89:$T$89,0))-INDEX(pin!$D$90:$T$108,MATCH(ΥΠΟΛΟΓΙΣΜΟΙ!BV24,pin!$B$90:$B$108,0),MATCH(ΥΠΟΛΟΓΙΣΜΟΙ!AX24,pin!$D$89:$T$89,0)))</f>
        <v>1</v>
      </c>
      <c r="BY24" s="188">
        <f>INDEX(pin!$X$90:$AN$108,MATCH(ΥΠΟΛΟΓΙΣΜΟΙ!BU24,pin!$V$90:$V$108,0),MATCH(ΥΠΟΛΟΓΙΣΜΟΙ!AW24,pin!$X$89:$AN$89,0))+0.2*(BU24-AI24)*(INDEX(pin!$X$90:$AN$108,MATCH(ΥΠΟΛΟΓΙΣΜΟΙ!BU24,pin!$V$90:$V$108,0),MATCH(ΥΠΟΛΟΓΙΣΜΟΙ!AW24,pin!$X$89:$AN$89,0))-INDEX(pin!$X$90:$AN$108,MATCH(ΥΠΟΛΟΓΙΣΜΟΙ!BV24,pin!$V$90:$V$108,0),MATCH(ΥΠΟΛΟΓΙΣΜΟΙ!AW24,pin!$X$89:$AN$89,0)))</f>
        <v>1</v>
      </c>
      <c r="BZ24" s="203">
        <f>INDEX(pin!$X$90:$AN$108,MATCH(ΥΠΟΛΟΓΙΣΜΟΙ!BU24,pin!$V$90:$V$108,0),MATCH(ΥΠΟΛΟΓΙΣΜΟΙ!AX24,pin!$X$89:$AN$89,0))+0.2*(BU24-AI24)*(INDEX(pin!$X$90:$AN$108,MATCH(ΥΠΟΛΟΓΙΣΜΟΙ!BU24,pin!$V$90:$V$108,0),MATCH(ΥΠΟΛΟΓΙΣΜΟΙ!AX24,pin!$X$89:$AN$89,0))-INDEX(pin!$X$90:$AN$108,MATCH(ΥΠΟΛΟΓΙΣΜΟΙ!BV24,pin!$V$90:$V$108,0),MATCH(ΥΠΟΛΟΓΙΣΜΟΙ!AX24,pin!$X$89:$AN$89,0)))</f>
        <v>1</v>
      </c>
      <c r="CA24" s="191"/>
      <c r="DF24" s="232"/>
      <c r="DI24" s="232"/>
    </row>
    <row r="25" spans="1:119">
      <c r="A25" s="56">
        <v>9</v>
      </c>
      <c r="B25" s="118"/>
      <c r="C25" s="116"/>
      <c r="D25" s="116"/>
      <c r="E25" s="47" t="str">
        <f t="shared" si="1"/>
        <v>-</v>
      </c>
      <c r="F25" s="116"/>
      <c r="G25" s="239" t="str">
        <f t="shared" si="2"/>
        <v>-</v>
      </c>
      <c r="H25" s="240"/>
      <c r="I25" s="116"/>
      <c r="J25" s="116"/>
      <c r="K25" s="236" t="str">
        <f t="shared" si="3"/>
        <v>-</v>
      </c>
      <c r="L25" s="235"/>
      <c r="M25" s="235"/>
      <c r="N25" s="529" t="s">
        <v>671</v>
      </c>
      <c r="O25" s="46">
        <f t="shared" si="4"/>
        <v>1</v>
      </c>
      <c r="P25" s="120">
        <f t="shared" si="30"/>
        <v>1</v>
      </c>
      <c r="Q25" s="46">
        <f t="shared" si="5"/>
        <v>1</v>
      </c>
      <c r="R25" s="120">
        <f t="shared" si="6"/>
        <v>1</v>
      </c>
      <c r="S25" s="46">
        <f t="shared" si="7"/>
        <v>1</v>
      </c>
      <c r="T25" s="120">
        <f t="shared" si="8"/>
        <v>1</v>
      </c>
      <c r="U25" s="121"/>
      <c r="V25" s="122"/>
      <c r="W25" s="116"/>
      <c r="X25" s="117"/>
      <c r="Y25" s="163"/>
      <c r="Z25" s="122"/>
      <c r="AA25" s="116"/>
      <c r="AB25" s="116"/>
      <c r="AC25" s="121"/>
      <c r="AD25" s="117"/>
      <c r="AE25" s="204">
        <f t="shared" si="0"/>
        <v>0</v>
      </c>
      <c r="AF25" s="180">
        <f t="shared" si="9"/>
        <v>0</v>
      </c>
      <c r="AG25" s="180">
        <f t="shared" si="10"/>
        <v>0</v>
      </c>
      <c r="AH25" s="180">
        <f t="shared" si="11"/>
        <v>0</v>
      </c>
      <c r="AI25" s="180">
        <f t="shared" si="12"/>
        <v>0</v>
      </c>
      <c r="AJ25" s="181">
        <f t="shared" si="13"/>
        <v>1</v>
      </c>
      <c r="AK25" s="181">
        <f t="shared" si="14"/>
        <v>1</v>
      </c>
      <c r="AL25" s="181">
        <f t="shared" si="15"/>
        <v>1</v>
      </c>
      <c r="AM25" s="181">
        <f t="shared" si="16"/>
        <v>1</v>
      </c>
      <c r="AN25" s="187">
        <f t="shared" si="17"/>
        <v>0</v>
      </c>
      <c r="AO25" s="188"/>
      <c r="AP25" s="188"/>
      <c r="AQ25" s="188"/>
      <c r="AR25" s="188"/>
      <c r="AS25" s="188"/>
      <c r="AT25" s="188"/>
      <c r="AU25" s="188"/>
      <c r="AV25" s="188" t="s">
        <v>256</v>
      </c>
      <c r="AW25" s="188">
        <f t="shared" si="18"/>
        <v>0</v>
      </c>
      <c r="AX25" s="203">
        <f t="shared" si="19"/>
        <v>0</v>
      </c>
      <c r="AY25" s="187">
        <f t="shared" si="20"/>
        <v>0</v>
      </c>
      <c r="AZ25" s="188">
        <f t="shared" si="21"/>
        <v>0</v>
      </c>
      <c r="BA25" s="188">
        <f>INDEX(pin!$D$6:$T$42,MATCH(ΥΠΟΛΟΓΙΣΜΟΙ!AY25,pin!$B$6:$B$42,0),MATCH(ΥΠΟΛΟΓΙΣΜΟΙ!AW25,pin!$D$5:$T$5,0))+0.4*(AY25-AE25)*(INDEX(pin!$D$6:$T$42,MATCH(ΥΠΟΛΟΓΙΣΜΟΙ!AY25,pin!$B$6:$B$42,0),MATCH(ΥΠΟΛΟΓΙΣΜΟΙ!AW25,pin!$D$5:$T$5,0))-INDEX(pin!$D$6:$T$42,MATCH(ΥΠΟΛΟΓΙΣΜΟΙ!AZ25,pin!$B$6:$B$42,0),MATCH(ΥΠΟΛΟΓΙΣΜΟΙ!AW25,pin!$D$5:$T$5,0)))</f>
        <v>1</v>
      </c>
      <c r="BB25" s="203">
        <f>INDEX(pin!$D$6:$T$42,MATCH(ΥΠΟΛΟΓΙΣΜΟΙ!AY25,pin!$B$6:$B$42,0),MATCH(ΥΠΟΛΟΓΙΣΜΟΙ!AX25,pin!$D$5:$T$5,0))+0.4*(AY25-AE25)*(INDEX(pin!$D$6:$T$42,MATCH(ΥΠΟΛΟΓΙΣΜΟΙ!AY25,pin!$B$6:$B$42,0),MATCH(ΥΠΟΛΟΓΙΣΜΟΙ!AX25,pin!$D$5:$T$5,0))-INDEX(pin!$D$6:$T$42,MATCH(ΥΠΟΛΟΓΙΣΜΟΙ!AZ25,pin!$B$6:$B$42,0),MATCH(ΥΠΟΛΟΓΙΣΜΟΙ!AX25,pin!$D$5:$T$5,0)))</f>
        <v>1</v>
      </c>
      <c r="BC25" s="188">
        <f>INDEX(pin!$X$6:$AN$42,MATCH(ΥΠΟΛΟΓΙΣΜΟΙ!AY25,pin!$V$6:$V$42,0),MATCH(ΥΠΟΛΟΓΙΣΜΟΙ!AW25,pin!$X$5:$AN$5,0))+0.4*(AY25-AE25)*(INDEX(pin!$X$6:$AN$42,MATCH(ΥΠΟΛΟΓΙΣΜΟΙ!AY25,pin!$V$6:$V$42,0),MATCH(ΥΠΟΛΟΓΙΣΜΟΙ!AW25,pin!$X$5:$AN$5,0))-INDEX(pin!$X$6:$AN$42,MATCH(ΥΠΟΛΟΓΙΣΜΟΙ!AZ25,pin!$V$6:$V$42,0),MATCH(ΥΠΟΛΟΓΙΣΜΟΙ!AW25,pin!$X$5:$AN$5,0)))</f>
        <v>1</v>
      </c>
      <c r="BD25" s="188">
        <f>INDEX(pin!$X$6:$AN$42,MATCH(ΥΠΟΛΟΓΙΣΜΟΙ!AY25,pin!$V$6:$V$42,0),MATCH(ΥΠΟΛΟΓΙΣΜΟΙ!AX25,pin!$X$5:$AN$5,0))+0.4*(AY25-AE25)*(INDEX(pin!$X$6:$AN$42,MATCH(ΥΠΟΛΟΓΙΣΜΟΙ!AY25,pin!$V$6:$V$42,0),MATCH(ΥΠΟΛΟΓΙΣΜΟΙ!AX25,pin!$X$5:$AN$5,0))-INDEX(pin!$X$6:$AN$42,MATCH(ΥΠΟΛΟΓΙΣΜΟΙ!AZ25,pin!$V$6:$V$42,0),MATCH(ΥΠΟΛΟΓΙΣΜΟΙ!AX25,pin!$X$5:$AN$5,0)))</f>
        <v>1</v>
      </c>
      <c r="BE25" s="187">
        <f t="shared" si="22"/>
        <v>0</v>
      </c>
      <c r="BF25" s="188">
        <f t="shared" si="23"/>
        <v>0</v>
      </c>
      <c r="BG25" s="188">
        <f>INDEX(pin!$D$48:$T$84,MATCH(ΥΠΟΛΟΓΙΣΜΟΙ!BE25,pin!$B$48:$B$84,0),MATCH(ΥΠΟΛΟΓΙΣΜΟΙ!AW25,pin!$D$47:$T$47,0))+0.4*(BE25-AF25)*(INDEX(pin!$D$48:$T$84,MATCH(ΥΠΟΛΟΓΙΣΜΟΙ!BE25,pin!$B$48:$B$84,0),MATCH(ΥΠΟΛΟΓΙΣΜΟΙ!AW25,pin!$D$47:$T$47,0))-INDEX(pin!$D$48:$T$84,MATCH(ΥΠΟΛΟΓΙΣΜΟΙ!BF25,pin!$B$48:$B$84,0),MATCH(ΥΠΟΛΟΓΙΣΜΟΙ!AW25,pin!$D$47:$T$47,0)))</f>
        <v>1</v>
      </c>
      <c r="BH25" s="188">
        <f>INDEX(pin!$D$48:$T$84,MATCH(ΥΠΟΛΟΓΙΣΜΟΙ!BE25,pin!$B$48:$B$84,0),MATCH(ΥΠΟΛΟΓΙΣΜΟΙ!AX25,pin!$D$47:$T$47,0))+0.4*(BE25-AF25)*(INDEX(pin!$D$48:$T$84,MATCH(ΥΠΟΛΟΓΙΣΜΟΙ!BE25,pin!$B$48:$B$84,0),MATCH(ΥΠΟΛΟΓΙΣΜΟΙ!AX25,pin!$D$47:$T$47,0))-INDEX(pin!$D$48:$T$84,MATCH(ΥΠΟΛΟΓΙΣΜΟΙ!BF25,pin!$B$48:$B$84,0),MATCH(ΥΠΟΛΟΓΙΣΜΟΙ!AX25,pin!$D$47:$T$47,0)))</f>
        <v>1</v>
      </c>
      <c r="BI25" s="187">
        <f>INDEX(pin!$X$48:$AN$84,MATCH(ΥΠΟΛΟΓΙΣΜΟΙ!BE25,pin!$V$48:$V$84,0),MATCH(ΥΠΟΛΟΓΙΣΜΟΙ!AW25,pin!$X$47:$AN$47,0))+0.4*(BE25-AF25)*(INDEX(pin!$X$48:$AN$84,MATCH(ΥΠΟΛΟΓΙΣΜΟΙ!BE25,pin!$V$48:$V$84,0),MATCH(ΥΠΟΛΟΓΙΣΜΟΙ!AW25,pin!$X$47:$AN$47,0))-INDEX(pin!$X$48:$AN$84,MATCH(ΥΠΟΛΟΓΙΣΜΟΙ!BF25,pin!$V$48:$V$84,0),MATCH(ΥΠΟΛΟΓΙΣΜΟΙ!AW25,pin!$X$47:$AN$47,0)))</f>
        <v>1</v>
      </c>
      <c r="BJ25" s="203">
        <f>INDEX(pin!$X$48:$AN$84,MATCH(ΥΠΟΛΟΓΙΣΜΟΙ!BE25,pin!$V$48:$V$84,0),MATCH(ΥΠΟΛΟΓΙΣΜΟΙ!AX25,pin!$X$47:$AN$47,0))+0.4*(BE25-AF25)*(INDEX(pin!$X$48:$AN$84,MATCH(ΥΠΟΛΟΓΙΣΜΟΙ!BE25,pin!$V$48:$V$84,0),MATCH(ΥΠΟΛΟΓΙΣΜΟΙ!AX25,pin!$X$47:$AN$47,0))-INDEX(pin!$X$48:$AN$84,MATCH(ΥΠΟΛΟΓΙΣΜΟΙ!BF25,pin!$V$48:$V$84,0),MATCH(ΥΠΟΛΟΓΙΣΜΟΙ!AX25,pin!$X$47:$AN$47,0)))</f>
        <v>1</v>
      </c>
      <c r="BK25" s="187">
        <f t="shared" si="24"/>
        <v>0</v>
      </c>
      <c r="BL25" s="188">
        <f t="shared" si="25"/>
        <v>0</v>
      </c>
      <c r="BM25" s="188">
        <f>INDEX(pin!$X$48:$AN$84,MATCH(ΥΠΟΛΟΓΙΣΜΟΙ!BK25,pin!$V$48:$V$84,0),MATCH(ΥΠΟΛΟΓΙΣΜΟΙ!AW25,pin!$X$47:$AN$47,0))+0.4*(BK25-AG25)*(INDEX(pin!$X$48:$AN$84,MATCH(ΥΠΟΛΟΓΙΣΜΟΙ!BK25,pin!$V$48:$V$84,0),MATCH(ΥΠΟΛΟΓΙΣΜΟΙ!AW25,pin!$X$47:$AN$47,0))-INDEX(pin!$X$48:$AN$84,MATCH(ΥΠΟΛΟΓΙΣΜΟΙ!BL25,pin!$V$48:$V$84,0),MATCH(ΥΠΟΛΟΓΙΣΜΟΙ!AW25,pin!$X$47:$AN$47,0)))</f>
        <v>1</v>
      </c>
      <c r="BN25" s="203">
        <f>INDEX(pin!$X$48:$AN$84,MATCH(ΥΠΟΛΟΓΙΣΜΟΙ!BK25,pin!$V$48:$V$84,0),MATCH(ΥΠΟΛΟΓΙΣΜΟΙ!AX25,pin!$X$47:$AN$47,0))+0.4*(BK25-AG25)*(INDEX(pin!$X$48:$AN$84,MATCH(ΥΠΟΛΟΓΙΣΜΟΙ!BK25,pin!$V$48:$V$84,0),MATCH(ΥΠΟΛΟΓΙΣΜΟΙ!AX25,pin!$X$47:$AN$47,0))-INDEX(pin!$X$48:$AN$84,MATCH(ΥΠΟΛΟΓΙΣΜΟΙ!BL25,pin!$V$48:$V$84,0),MATCH(ΥΠΟΛΟΓΙΣΜΟΙ!AX25,pin!$X$47:$AN$47,0)))</f>
        <v>1</v>
      </c>
      <c r="BO25" s="187">
        <f t="shared" si="26"/>
        <v>0</v>
      </c>
      <c r="BP25" s="188">
        <f t="shared" si="27"/>
        <v>0</v>
      </c>
      <c r="BQ25" s="188">
        <f>INDEX(pin!$D$114:$T$132,MATCH(ΥΠΟΛΟΓΙΣΜΟΙ!BO25,pin!$B$114:$B$132,0),MATCH(ΥΠΟΛΟΓΙΣΜΟΙ!AW25,pin!$D$113:$T$113,0))+0.2*(BO25-AH25)*(INDEX(pin!$D$114:$T$132,MATCH(ΥΠΟΛΟΓΙΣΜΟΙ!BO25,pin!$B$114:$B$132,0),MATCH(ΥΠΟΛΟΓΙΣΜΟΙ!AW25,pin!$D$113:$T$113,0))-INDEX(pin!$D$114:$T$132,MATCH(ΥΠΟΛΟΓΙΣΜΟΙ!BP25,pin!$B$114:$B$132,0),MATCH(ΥΠΟΛΟΓΙΣΜΟΙ!AW25,pin!$D$113:$T$113,0)))</f>
        <v>1</v>
      </c>
      <c r="BR25" s="188">
        <f>INDEX(pin!$D$114:$T$132,MATCH(ΥΠΟΛΟΓΙΣΜΟΙ!BO25,pin!$B$114:$B$132,0),MATCH(ΥΠΟΛΟΓΙΣΜΟΙ!AX25,pin!$D$113:$T$113,0))+0.2*(BO25-AH25)*(INDEX(pin!$D$114:$T$132,MATCH(ΥΠΟΛΟΓΙΣΜΟΙ!BO25,pin!$B$114:$B$132,0),MATCH(ΥΠΟΛΟΓΙΣΜΟΙ!AX25,pin!$D$113:$T$113,0))-INDEX(pin!$D$114:$T$132,MATCH(ΥΠΟΛΟΓΙΣΜΟΙ!BP25,pin!$B$114:$B$132,0),MATCH(ΥΠΟΛΟΓΙΣΜΟΙ!AX25,pin!$D$113:$T$113,0)))</f>
        <v>1</v>
      </c>
      <c r="BS25" s="187">
        <f>INDEX(pin!$X$114:$AN$132,MATCH(ΥΠΟΛΟΓΙΣΜΟΙ!BO25,pin!$V$114:$V$132,0),MATCH(ΥΠΟΛΟΓΙΣΜΟΙ!AW25,pin!$X$113:$AN$113,0))+0.2*(BO25-AH25)*(INDEX(pin!$X$114:$AN$132,MATCH(ΥΠΟΛΟΓΙΣΜΟΙ!BO25,pin!$V$114:$V$132,0),MATCH(ΥΠΟΛΟΓΙΣΜΟΙ!AW25,pin!$X$113:$AN$113,0))-INDEX(pin!$X$114:$AN$132,MATCH(ΥΠΟΛΟΓΙΣΜΟΙ!BP25,pin!$V$114:$V$132,0),MATCH(ΥΠΟΛΟΓΙΣΜΟΙ!AW25,pin!$X$113:$AN$113,0)))</f>
        <v>1</v>
      </c>
      <c r="BT25" s="203">
        <f>INDEX(pin!$X$114:$AN$132,MATCH(ΥΠΟΛΟΓΙΣΜΟΙ!BO25,pin!$V$114:$V$132,0),MATCH(ΥΠΟΛΟΓΙΣΜΟΙ!AX25,pin!$X$113:$AN$113,0))+0.2*(BO25-AH25)*(INDEX(pin!$X$114:$AN$132,MATCH(ΥΠΟΛΟΓΙΣΜΟΙ!BO25,pin!$V$114:$V$132,0),MATCH(ΥΠΟΛΟΓΙΣΜΟΙ!AX25,pin!$X$113:$AN$113,0))-INDEX(pin!$X$114:$AN$132,MATCH(ΥΠΟΛΟΓΙΣΜΟΙ!BP25,pin!$V$114:$V$132,0),MATCH(ΥΠΟΛΟΓΙΣΜΟΙ!AX25,pin!$X$113:$AN$113,0)))</f>
        <v>1</v>
      </c>
      <c r="BU25" s="187">
        <f t="shared" si="28"/>
        <v>0</v>
      </c>
      <c r="BV25" s="188">
        <f t="shared" si="29"/>
        <v>0</v>
      </c>
      <c r="BW25" s="188">
        <f>INDEX(pin!$D$90:$T$108,MATCH(ΥΠΟΛΟΓΙΣΜΟΙ!BU25,pin!$B$90:$B$108,0),MATCH(ΥΠΟΛΟΓΙΣΜΟΙ!AW25,pin!$D$89:$T$89,0))+0.2*(BU25-AI25)*(INDEX(pin!$D$90:$T$108,MATCH(ΥΠΟΛΟΓΙΣΜΟΙ!BU25,pin!$B$90:$B$108,0),MATCH(ΥΠΟΛΟΓΙΣΜΟΙ!AW25,pin!$D$89:$T$89,0))-INDEX(pin!$D$90:$T$108,MATCH(ΥΠΟΛΟΓΙΣΜΟΙ!BV25,pin!$B$90:$B$108,0),MATCH(ΥΠΟΛΟΓΙΣΜΟΙ!AW25,pin!$D$89:$T$89,0)))</f>
        <v>1</v>
      </c>
      <c r="BX25" s="203">
        <f>INDEX(pin!$D$90:$T$108,MATCH(ΥΠΟΛΟΓΙΣΜΟΙ!BU25,pin!$B$90:$B$108,0),MATCH(ΥΠΟΛΟΓΙΣΜΟΙ!AX25,pin!$D$89:$T$89,0))+0.2*(BU25-AI25)*(INDEX(pin!$D$90:$T$108,MATCH(ΥΠΟΛΟΓΙΣΜΟΙ!BU25,pin!$B$90:$B$108,0),MATCH(ΥΠΟΛΟΓΙΣΜΟΙ!AX25,pin!$D$89:$T$89,0))-INDEX(pin!$D$90:$T$108,MATCH(ΥΠΟΛΟΓΙΣΜΟΙ!BV25,pin!$B$90:$B$108,0),MATCH(ΥΠΟΛΟΓΙΣΜΟΙ!AX25,pin!$D$89:$T$89,0)))</f>
        <v>1</v>
      </c>
      <c r="BY25" s="188">
        <f>INDEX(pin!$X$90:$AN$108,MATCH(ΥΠΟΛΟΓΙΣΜΟΙ!BU25,pin!$V$90:$V$108,0),MATCH(ΥΠΟΛΟΓΙΣΜΟΙ!AW25,pin!$X$89:$AN$89,0))+0.2*(BU25-AI25)*(INDEX(pin!$X$90:$AN$108,MATCH(ΥΠΟΛΟΓΙΣΜΟΙ!BU25,pin!$V$90:$V$108,0),MATCH(ΥΠΟΛΟΓΙΣΜΟΙ!AW25,pin!$X$89:$AN$89,0))-INDEX(pin!$X$90:$AN$108,MATCH(ΥΠΟΛΟΓΙΣΜΟΙ!BV25,pin!$V$90:$V$108,0),MATCH(ΥΠΟΛΟΓΙΣΜΟΙ!AW25,pin!$X$89:$AN$89,0)))</f>
        <v>1</v>
      </c>
      <c r="BZ25" s="203">
        <f>INDEX(pin!$X$90:$AN$108,MATCH(ΥΠΟΛΟΓΙΣΜΟΙ!BU25,pin!$V$90:$V$108,0),MATCH(ΥΠΟΛΟΓΙΣΜΟΙ!AX25,pin!$X$89:$AN$89,0))+0.2*(BU25-AI25)*(INDEX(pin!$X$90:$AN$108,MATCH(ΥΠΟΛΟΓΙΣΜΟΙ!BU25,pin!$V$90:$V$108,0),MATCH(ΥΠΟΛΟΓΙΣΜΟΙ!AX25,pin!$X$89:$AN$89,0))-INDEX(pin!$X$90:$AN$108,MATCH(ΥΠΟΛΟΓΙΣΜΟΙ!BV25,pin!$V$90:$V$108,0),MATCH(ΥΠΟΛΟΓΙΣΜΟΙ!AX25,pin!$X$89:$AN$89,0)))</f>
        <v>1</v>
      </c>
      <c r="CA25" s="191"/>
      <c r="DI25" s="232"/>
    </row>
    <row r="26" spans="1:119">
      <c r="A26" s="56">
        <v>10</v>
      </c>
      <c r="B26" s="118"/>
      <c r="C26" s="116"/>
      <c r="D26" s="116"/>
      <c r="E26" s="47" t="str">
        <f t="shared" si="1"/>
        <v>-</v>
      </c>
      <c r="F26" s="116"/>
      <c r="G26" s="239" t="str">
        <f t="shared" si="2"/>
        <v>-</v>
      </c>
      <c r="H26" s="240"/>
      <c r="I26" s="116"/>
      <c r="J26" s="116"/>
      <c r="K26" s="236" t="str">
        <f t="shared" si="3"/>
        <v>-</v>
      </c>
      <c r="L26" s="235"/>
      <c r="M26" s="235"/>
      <c r="N26" s="529" t="s">
        <v>671</v>
      </c>
      <c r="O26" s="46">
        <f t="shared" si="4"/>
        <v>1</v>
      </c>
      <c r="P26" s="120">
        <f t="shared" si="30"/>
        <v>1</v>
      </c>
      <c r="Q26" s="46">
        <f t="shared" si="5"/>
        <v>1</v>
      </c>
      <c r="R26" s="120">
        <f t="shared" si="6"/>
        <v>1</v>
      </c>
      <c r="S26" s="46">
        <f t="shared" si="7"/>
        <v>1</v>
      </c>
      <c r="T26" s="120">
        <f t="shared" si="8"/>
        <v>1</v>
      </c>
      <c r="U26" s="121"/>
      <c r="V26" s="122"/>
      <c r="W26" s="116"/>
      <c r="X26" s="117"/>
      <c r="Y26" s="163"/>
      <c r="Z26" s="122"/>
      <c r="AA26" s="116"/>
      <c r="AB26" s="116"/>
      <c r="AC26" s="121"/>
      <c r="AD26" s="117"/>
      <c r="AE26" s="204">
        <f t="shared" si="0"/>
        <v>0</v>
      </c>
      <c r="AF26" s="180">
        <f t="shared" si="9"/>
        <v>0</v>
      </c>
      <c r="AG26" s="180">
        <f t="shared" si="10"/>
        <v>0</v>
      </c>
      <c r="AH26" s="180">
        <f t="shared" si="11"/>
        <v>0</v>
      </c>
      <c r="AI26" s="180">
        <f t="shared" si="12"/>
        <v>0</v>
      </c>
      <c r="AJ26" s="181">
        <f t="shared" si="13"/>
        <v>1</v>
      </c>
      <c r="AK26" s="181">
        <f t="shared" si="14"/>
        <v>1</v>
      </c>
      <c r="AL26" s="181">
        <f t="shared" si="15"/>
        <v>1</v>
      </c>
      <c r="AM26" s="181">
        <f t="shared" si="16"/>
        <v>1</v>
      </c>
      <c r="AN26" s="187">
        <f t="shared" si="17"/>
        <v>0</v>
      </c>
      <c r="AO26" s="188"/>
      <c r="AP26" s="188"/>
      <c r="AQ26" s="188"/>
      <c r="AR26" s="188"/>
      <c r="AS26" s="188"/>
      <c r="AT26" s="188"/>
      <c r="AU26" s="188"/>
      <c r="AV26" s="188" t="s">
        <v>256</v>
      </c>
      <c r="AW26" s="188">
        <f t="shared" si="18"/>
        <v>0</v>
      </c>
      <c r="AX26" s="203">
        <f t="shared" si="19"/>
        <v>0</v>
      </c>
      <c r="AY26" s="187">
        <f t="shared" si="20"/>
        <v>0</v>
      </c>
      <c r="AZ26" s="188">
        <f t="shared" si="21"/>
        <v>0</v>
      </c>
      <c r="BA26" s="188">
        <f>INDEX(pin!$D$6:$T$42,MATCH(ΥΠΟΛΟΓΙΣΜΟΙ!AY26,pin!$B$6:$B$42,0),MATCH(ΥΠΟΛΟΓΙΣΜΟΙ!AW26,pin!$D$5:$T$5,0))+0.4*(AY26-AE26)*(INDEX(pin!$D$6:$T$42,MATCH(ΥΠΟΛΟΓΙΣΜΟΙ!AY26,pin!$B$6:$B$42,0),MATCH(ΥΠΟΛΟΓΙΣΜΟΙ!AW26,pin!$D$5:$T$5,0))-INDEX(pin!$D$6:$T$42,MATCH(ΥΠΟΛΟΓΙΣΜΟΙ!AZ26,pin!$B$6:$B$42,0),MATCH(ΥΠΟΛΟΓΙΣΜΟΙ!AW26,pin!$D$5:$T$5,0)))</f>
        <v>1</v>
      </c>
      <c r="BB26" s="203">
        <f>INDEX(pin!$D$6:$T$42,MATCH(ΥΠΟΛΟΓΙΣΜΟΙ!AY26,pin!$B$6:$B$42,0),MATCH(ΥΠΟΛΟΓΙΣΜΟΙ!AX26,pin!$D$5:$T$5,0))+0.4*(AY26-AE26)*(INDEX(pin!$D$6:$T$42,MATCH(ΥΠΟΛΟΓΙΣΜΟΙ!AY26,pin!$B$6:$B$42,0),MATCH(ΥΠΟΛΟΓΙΣΜΟΙ!AX26,pin!$D$5:$T$5,0))-INDEX(pin!$D$6:$T$42,MATCH(ΥΠΟΛΟΓΙΣΜΟΙ!AZ26,pin!$B$6:$B$42,0),MATCH(ΥΠΟΛΟΓΙΣΜΟΙ!AX26,pin!$D$5:$T$5,0)))</f>
        <v>1</v>
      </c>
      <c r="BC26" s="188">
        <f>INDEX(pin!$X$6:$AN$42,MATCH(ΥΠΟΛΟΓΙΣΜΟΙ!AY26,pin!$V$6:$V$42,0),MATCH(ΥΠΟΛΟΓΙΣΜΟΙ!AW26,pin!$X$5:$AN$5,0))+0.4*(AY26-AE26)*(INDEX(pin!$X$6:$AN$42,MATCH(ΥΠΟΛΟΓΙΣΜΟΙ!AY26,pin!$V$6:$V$42,0),MATCH(ΥΠΟΛΟΓΙΣΜΟΙ!AW26,pin!$X$5:$AN$5,0))-INDEX(pin!$X$6:$AN$42,MATCH(ΥΠΟΛΟΓΙΣΜΟΙ!AZ26,pin!$V$6:$V$42,0),MATCH(ΥΠΟΛΟΓΙΣΜΟΙ!AW26,pin!$X$5:$AN$5,0)))</f>
        <v>1</v>
      </c>
      <c r="BD26" s="188">
        <f>INDEX(pin!$X$6:$AN$42,MATCH(ΥΠΟΛΟΓΙΣΜΟΙ!AY26,pin!$V$6:$V$42,0),MATCH(ΥΠΟΛΟΓΙΣΜΟΙ!AX26,pin!$X$5:$AN$5,0))+0.4*(AY26-AE26)*(INDEX(pin!$X$6:$AN$42,MATCH(ΥΠΟΛΟΓΙΣΜΟΙ!AY26,pin!$V$6:$V$42,0),MATCH(ΥΠΟΛΟΓΙΣΜΟΙ!AX26,pin!$X$5:$AN$5,0))-INDEX(pin!$X$6:$AN$42,MATCH(ΥΠΟΛΟΓΙΣΜΟΙ!AZ26,pin!$V$6:$V$42,0),MATCH(ΥΠΟΛΟΓΙΣΜΟΙ!AX26,pin!$X$5:$AN$5,0)))</f>
        <v>1</v>
      </c>
      <c r="BE26" s="187">
        <f t="shared" si="22"/>
        <v>0</v>
      </c>
      <c r="BF26" s="188">
        <f t="shared" si="23"/>
        <v>0</v>
      </c>
      <c r="BG26" s="188">
        <f>INDEX(pin!$D$48:$T$84,MATCH(ΥΠΟΛΟΓΙΣΜΟΙ!BE26,pin!$B$48:$B$84,0),MATCH(ΥΠΟΛΟΓΙΣΜΟΙ!AW26,pin!$D$47:$T$47,0))+0.4*(BE26-AF26)*(INDEX(pin!$D$48:$T$84,MATCH(ΥΠΟΛΟΓΙΣΜΟΙ!BE26,pin!$B$48:$B$84,0),MATCH(ΥΠΟΛΟΓΙΣΜΟΙ!AW26,pin!$D$47:$T$47,0))-INDEX(pin!$D$48:$T$84,MATCH(ΥΠΟΛΟΓΙΣΜΟΙ!BF26,pin!$B$48:$B$84,0),MATCH(ΥΠΟΛΟΓΙΣΜΟΙ!AW26,pin!$D$47:$T$47,0)))</f>
        <v>1</v>
      </c>
      <c r="BH26" s="188">
        <f>INDEX(pin!$D$48:$T$84,MATCH(ΥΠΟΛΟΓΙΣΜΟΙ!BE26,pin!$B$48:$B$84,0),MATCH(ΥΠΟΛΟΓΙΣΜΟΙ!AX26,pin!$D$47:$T$47,0))+0.4*(BE26-AF26)*(INDEX(pin!$D$48:$T$84,MATCH(ΥΠΟΛΟΓΙΣΜΟΙ!BE26,pin!$B$48:$B$84,0),MATCH(ΥΠΟΛΟΓΙΣΜΟΙ!AX26,pin!$D$47:$T$47,0))-INDEX(pin!$D$48:$T$84,MATCH(ΥΠΟΛΟΓΙΣΜΟΙ!BF26,pin!$B$48:$B$84,0),MATCH(ΥΠΟΛΟΓΙΣΜΟΙ!AX26,pin!$D$47:$T$47,0)))</f>
        <v>1</v>
      </c>
      <c r="BI26" s="187">
        <f>INDEX(pin!$X$48:$AN$84,MATCH(ΥΠΟΛΟΓΙΣΜΟΙ!BE26,pin!$V$48:$V$84,0),MATCH(ΥΠΟΛΟΓΙΣΜΟΙ!AW26,pin!$X$47:$AN$47,0))+0.4*(BE26-AF26)*(INDEX(pin!$X$48:$AN$84,MATCH(ΥΠΟΛΟΓΙΣΜΟΙ!BE26,pin!$V$48:$V$84,0),MATCH(ΥΠΟΛΟΓΙΣΜΟΙ!AW26,pin!$X$47:$AN$47,0))-INDEX(pin!$X$48:$AN$84,MATCH(ΥΠΟΛΟΓΙΣΜΟΙ!BF26,pin!$V$48:$V$84,0),MATCH(ΥΠΟΛΟΓΙΣΜΟΙ!AW26,pin!$X$47:$AN$47,0)))</f>
        <v>1</v>
      </c>
      <c r="BJ26" s="203">
        <f>INDEX(pin!$X$48:$AN$84,MATCH(ΥΠΟΛΟΓΙΣΜΟΙ!BE26,pin!$V$48:$V$84,0),MATCH(ΥΠΟΛΟΓΙΣΜΟΙ!AX26,pin!$X$47:$AN$47,0))+0.4*(BE26-AF26)*(INDEX(pin!$X$48:$AN$84,MATCH(ΥΠΟΛΟΓΙΣΜΟΙ!BE26,pin!$V$48:$V$84,0),MATCH(ΥΠΟΛΟΓΙΣΜΟΙ!AX26,pin!$X$47:$AN$47,0))-INDEX(pin!$X$48:$AN$84,MATCH(ΥΠΟΛΟΓΙΣΜΟΙ!BF26,pin!$V$48:$V$84,0),MATCH(ΥΠΟΛΟΓΙΣΜΟΙ!AX26,pin!$X$47:$AN$47,0)))</f>
        <v>1</v>
      </c>
      <c r="BK26" s="187">
        <f t="shared" si="24"/>
        <v>0</v>
      </c>
      <c r="BL26" s="188">
        <f t="shared" si="25"/>
        <v>0</v>
      </c>
      <c r="BM26" s="188">
        <f>INDEX(pin!$X$48:$AN$84,MATCH(ΥΠΟΛΟΓΙΣΜΟΙ!BK26,pin!$V$48:$V$84,0),MATCH(ΥΠΟΛΟΓΙΣΜΟΙ!AW26,pin!$X$47:$AN$47,0))+0.4*(BK26-AG26)*(INDEX(pin!$X$48:$AN$84,MATCH(ΥΠΟΛΟΓΙΣΜΟΙ!BK26,pin!$V$48:$V$84,0),MATCH(ΥΠΟΛΟΓΙΣΜΟΙ!AW26,pin!$X$47:$AN$47,0))-INDEX(pin!$X$48:$AN$84,MATCH(ΥΠΟΛΟΓΙΣΜΟΙ!BL26,pin!$V$48:$V$84,0),MATCH(ΥΠΟΛΟΓΙΣΜΟΙ!AW26,pin!$X$47:$AN$47,0)))</f>
        <v>1</v>
      </c>
      <c r="BN26" s="203">
        <f>INDEX(pin!$X$48:$AN$84,MATCH(ΥΠΟΛΟΓΙΣΜΟΙ!BK26,pin!$V$48:$V$84,0),MATCH(ΥΠΟΛΟΓΙΣΜΟΙ!AX26,pin!$X$47:$AN$47,0))+0.4*(BK26-AG26)*(INDEX(pin!$X$48:$AN$84,MATCH(ΥΠΟΛΟΓΙΣΜΟΙ!BK26,pin!$V$48:$V$84,0),MATCH(ΥΠΟΛΟΓΙΣΜΟΙ!AX26,pin!$X$47:$AN$47,0))-INDEX(pin!$X$48:$AN$84,MATCH(ΥΠΟΛΟΓΙΣΜΟΙ!BL26,pin!$V$48:$V$84,0),MATCH(ΥΠΟΛΟΓΙΣΜΟΙ!AX26,pin!$X$47:$AN$47,0)))</f>
        <v>1</v>
      </c>
      <c r="BO26" s="187">
        <f t="shared" si="26"/>
        <v>0</v>
      </c>
      <c r="BP26" s="188">
        <f t="shared" si="27"/>
        <v>0</v>
      </c>
      <c r="BQ26" s="188">
        <f>INDEX(pin!$D$114:$T$132,MATCH(ΥΠΟΛΟΓΙΣΜΟΙ!BO26,pin!$B$114:$B$132,0),MATCH(ΥΠΟΛΟΓΙΣΜΟΙ!AW26,pin!$D$113:$T$113,0))+0.2*(BO26-AH26)*(INDEX(pin!$D$114:$T$132,MATCH(ΥΠΟΛΟΓΙΣΜΟΙ!BO26,pin!$B$114:$B$132,0),MATCH(ΥΠΟΛΟΓΙΣΜΟΙ!AW26,pin!$D$113:$T$113,0))-INDEX(pin!$D$114:$T$132,MATCH(ΥΠΟΛΟΓΙΣΜΟΙ!BP26,pin!$B$114:$B$132,0),MATCH(ΥΠΟΛΟΓΙΣΜΟΙ!AW26,pin!$D$113:$T$113,0)))</f>
        <v>1</v>
      </c>
      <c r="BR26" s="188">
        <f>INDEX(pin!$D$114:$T$132,MATCH(ΥΠΟΛΟΓΙΣΜΟΙ!BO26,pin!$B$114:$B$132,0),MATCH(ΥΠΟΛΟΓΙΣΜΟΙ!AX26,pin!$D$113:$T$113,0))+0.2*(BO26-AH26)*(INDEX(pin!$D$114:$T$132,MATCH(ΥΠΟΛΟΓΙΣΜΟΙ!BO26,pin!$B$114:$B$132,0),MATCH(ΥΠΟΛΟΓΙΣΜΟΙ!AX26,pin!$D$113:$T$113,0))-INDEX(pin!$D$114:$T$132,MATCH(ΥΠΟΛΟΓΙΣΜΟΙ!BP26,pin!$B$114:$B$132,0),MATCH(ΥΠΟΛΟΓΙΣΜΟΙ!AX26,pin!$D$113:$T$113,0)))</f>
        <v>1</v>
      </c>
      <c r="BS26" s="187">
        <f>INDEX(pin!$X$114:$AN$132,MATCH(ΥΠΟΛΟΓΙΣΜΟΙ!BO26,pin!$V$114:$V$132,0),MATCH(ΥΠΟΛΟΓΙΣΜΟΙ!AW26,pin!$X$113:$AN$113,0))+0.2*(BO26-AH26)*(INDEX(pin!$X$114:$AN$132,MATCH(ΥΠΟΛΟΓΙΣΜΟΙ!BO26,pin!$V$114:$V$132,0),MATCH(ΥΠΟΛΟΓΙΣΜΟΙ!AW26,pin!$X$113:$AN$113,0))-INDEX(pin!$X$114:$AN$132,MATCH(ΥΠΟΛΟΓΙΣΜΟΙ!BP26,pin!$V$114:$V$132,0),MATCH(ΥΠΟΛΟΓΙΣΜΟΙ!AW26,pin!$X$113:$AN$113,0)))</f>
        <v>1</v>
      </c>
      <c r="BT26" s="203">
        <f>INDEX(pin!$X$114:$AN$132,MATCH(ΥΠΟΛΟΓΙΣΜΟΙ!BO26,pin!$V$114:$V$132,0),MATCH(ΥΠΟΛΟΓΙΣΜΟΙ!AX26,pin!$X$113:$AN$113,0))+0.2*(BO26-AH26)*(INDEX(pin!$X$114:$AN$132,MATCH(ΥΠΟΛΟΓΙΣΜΟΙ!BO26,pin!$V$114:$V$132,0),MATCH(ΥΠΟΛΟΓΙΣΜΟΙ!AX26,pin!$X$113:$AN$113,0))-INDEX(pin!$X$114:$AN$132,MATCH(ΥΠΟΛΟΓΙΣΜΟΙ!BP26,pin!$V$114:$V$132,0),MATCH(ΥΠΟΛΟΓΙΣΜΟΙ!AX26,pin!$X$113:$AN$113,0)))</f>
        <v>1</v>
      </c>
      <c r="BU26" s="187">
        <f t="shared" si="28"/>
        <v>0</v>
      </c>
      <c r="BV26" s="188">
        <f t="shared" si="29"/>
        <v>0</v>
      </c>
      <c r="BW26" s="188">
        <f>INDEX(pin!$D$90:$T$108,MATCH(ΥΠΟΛΟΓΙΣΜΟΙ!BU26,pin!$B$90:$B$108,0),MATCH(ΥΠΟΛΟΓΙΣΜΟΙ!AW26,pin!$D$89:$T$89,0))+0.2*(BU26-AI26)*(INDEX(pin!$D$90:$T$108,MATCH(ΥΠΟΛΟΓΙΣΜΟΙ!BU26,pin!$B$90:$B$108,0),MATCH(ΥΠΟΛΟΓΙΣΜΟΙ!AW26,pin!$D$89:$T$89,0))-INDEX(pin!$D$90:$T$108,MATCH(ΥΠΟΛΟΓΙΣΜΟΙ!BV26,pin!$B$90:$B$108,0),MATCH(ΥΠΟΛΟΓΙΣΜΟΙ!AW26,pin!$D$89:$T$89,0)))</f>
        <v>1</v>
      </c>
      <c r="BX26" s="203">
        <f>INDEX(pin!$D$90:$T$108,MATCH(ΥΠΟΛΟΓΙΣΜΟΙ!BU26,pin!$B$90:$B$108,0),MATCH(ΥΠΟΛΟΓΙΣΜΟΙ!AX26,pin!$D$89:$T$89,0))+0.2*(BU26-AI26)*(INDEX(pin!$D$90:$T$108,MATCH(ΥΠΟΛΟΓΙΣΜΟΙ!BU26,pin!$B$90:$B$108,0),MATCH(ΥΠΟΛΟΓΙΣΜΟΙ!AX26,pin!$D$89:$T$89,0))-INDEX(pin!$D$90:$T$108,MATCH(ΥΠΟΛΟΓΙΣΜΟΙ!BV26,pin!$B$90:$B$108,0),MATCH(ΥΠΟΛΟΓΙΣΜΟΙ!AX26,pin!$D$89:$T$89,0)))</f>
        <v>1</v>
      </c>
      <c r="BY26" s="188">
        <f>INDEX(pin!$X$90:$AN$108,MATCH(ΥΠΟΛΟΓΙΣΜΟΙ!BU26,pin!$V$90:$V$108,0),MATCH(ΥΠΟΛΟΓΙΣΜΟΙ!AW26,pin!$X$89:$AN$89,0))+0.2*(BU26-AI26)*(INDEX(pin!$X$90:$AN$108,MATCH(ΥΠΟΛΟΓΙΣΜΟΙ!BU26,pin!$V$90:$V$108,0),MATCH(ΥΠΟΛΟΓΙΣΜΟΙ!AW26,pin!$X$89:$AN$89,0))-INDEX(pin!$X$90:$AN$108,MATCH(ΥΠΟΛΟΓΙΣΜΟΙ!BV26,pin!$V$90:$V$108,0),MATCH(ΥΠΟΛΟΓΙΣΜΟΙ!AW26,pin!$X$89:$AN$89,0)))</f>
        <v>1</v>
      </c>
      <c r="BZ26" s="203">
        <f>INDEX(pin!$X$90:$AN$108,MATCH(ΥΠΟΛΟΓΙΣΜΟΙ!BU26,pin!$V$90:$V$108,0),MATCH(ΥΠΟΛΟΓΙΣΜΟΙ!AX26,pin!$X$89:$AN$89,0))+0.2*(BU26-AI26)*(INDEX(pin!$X$90:$AN$108,MATCH(ΥΠΟΛΟΓΙΣΜΟΙ!BU26,pin!$V$90:$V$108,0),MATCH(ΥΠΟΛΟΓΙΣΜΟΙ!AX26,pin!$X$89:$AN$89,0))-INDEX(pin!$X$90:$AN$108,MATCH(ΥΠΟΛΟΓΙΣΜΟΙ!BV26,pin!$V$90:$V$108,0),MATCH(ΥΠΟΛΟΓΙΣΜΟΙ!AX26,pin!$X$89:$AN$89,0)))</f>
        <v>1</v>
      </c>
      <c r="CA26" s="191"/>
      <c r="DI26" s="232"/>
    </row>
    <row r="27" spans="1:119">
      <c r="A27" s="56">
        <v>11</v>
      </c>
      <c r="B27" s="118"/>
      <c r="C27" s="116"/>
      <c r="D27" s="116"/>
      <c r="E27" s="47" t="str">
        <f t="shared" si="1"/>
        <v>-</v>
      </c>
      <c r="F27" s="116"/>
      <c r="G27" s="239" t="str">
        <f t="shared" si="2"/>
        <v>-</v>
      </c>
      <c r="H27" s="240"/>
      <c r="I27" s="116"/>
      <c r="J27" s="116"/>
      <c r="K27" s="236" t="str">
        <f t="shared" si="3"/>
        <v>-</v>
      </c>
      <c r="L27" s="235"/>
      <c r="M27" s="235"/>
      <c r="N27" s="529" t="s">
        <v>671</v>
      </c>
      <c r="O27" s="46">
        <f t="shared" si="4"/>
        <v>1</v>
      </c>
      <c r="P27" s="120">
        <f t="shared" si="30"/>
        <v>1</v>
      </c>
      <c r="Q27" s="46">
        <f t="shared" si="5"/>
        <v>1</v>
      </c>
      <c r="R27" s="120">
        <f t="shared" si="6"/>
        <v>1</v>
      </c>
      <c r="S27" s="46">
        <f t="shared" si="7"/>
        <v>1</v>
      </c>
      <c r="T27" s="120">
        <f t="shared" si="8"/>
        <v>1</v>
      </c>
      <c r="U27" s="121"/>
      <c r="V27" s="122"/>
      <c r="W27" s="116"/>
      <c r="X27" s="117"/>
      <c r="Y27" s="163"/>
      <c r="Z27" s="122"/>
      <c r="AA27" s="116"/>
      <c r="AB27" s="116"/>
      <c r="AC27" s="121"/>
      <c r="AD27" s="117"/>
      <c r="AE27" s="204">
        <f t="shared" si="0"/>
        <v>0</v>
      </c>
      <c r="AF27" s="180">
        <f t="shared" si="9"/>
        <v>0</v>
      </c>
      <c r="AG27" s="180">
        <f t="shared" si="10"/>
        <v>0</v>
      </c>
      <c r="AH27" s="180">
        <f t="shared" si="11"/>
        <v>0</v>
      </c>
      <c r="AI27" s="180">
        <f t="shared" si="12"/>
        <v>0</v>
      </c>
      <c r="AJ27" s="181">
        <f t="shared" si="13"/>
        <v>1</v>
      </c>
      <c r="AK27" s="181">
        <f t="shared" si="14"/>
        <v>1</v>
      </c>
      <c r="AL27" s="181">
        <f t="shared" si="15"/>
        <v>1</v>
      </c>
      <c r="AM27" s="181">
        <f t="shared" si="16"/>
        <v>1</v>
      </c>
      <c r="AN27" s="187">
        <f t="shared" si="17"/>
        <v>0</v>
      </c>
      <c r="AO27" s="188"/>
      <c r="AP27" s="188"/>
      <c r="AQ27" s="188"/>
      <c r="AR27" s="188"/>
      <c r="AS27" s="188"/>
      <c r="AT27" s="188"/>
      <c r="AU27" s="188"/>
      <c r="AV27" s="188" t="s">
        <v>256</v>
      </c>
      <c r="AW27" s="188">
        <f t="shared" si="18"/>
        <v>0</v>
      </c>
      <c r="AX27" s="203">
        <f t="shared" si="19"/>
        <v>0</v>
      </c>
      <c r="AY27" s="187">
        <f t="shared" si="20"/>
        <v>0</v>
      </c>
      <c r="AZ27" s="188">
        <f t="shared" si="21"/>
        <v>0</v>
      </c>
      <c r="BA27" s="188">
        <f>INDEX(pin!$D$6:$T$42,MATCH(ΥΠΟΛΟΓΙΣΜΟΙ!AY27,pin!$B$6:$B$42,0),MATCH(ΥΠΟΛΟΓΙΣΜΟΙ!AW27,pin!$D$5:$T$5,0))+0.4*(AY27-AE27)*(INDEX(pin!$D$6:$T$42,MATCH(ΥΠΟΛΟΓΙΣΜΟΙ!AY27,pin!$B$6:$B$42,0),MATCH(ΥΠΟΛΟΓΙΣΜΟΙ!AW27,pin!$D$5:$T$5,0))-INDEX(pin!$D$6:$T$42,MATCH(ΥΠΟΛΟΓΙΣΜΟΙ!AZ27,pin!$B$6:$B$42,0),MATCH(ΥΠΟΛΟΓΙΣΜΟΙ!AW27,pin!$D$5:$T$5,0)))</f>
        <v>1</v>
      </c>
      <c r="BB27" s="203">
        <f>INDEX(pin!$D$6:$T$42,MATCH(ΥΠΟΛΟΓΙΣΜΟΙ!AY27,pin!$B$6:$B$42,0),MATCH(ΥΠΟΛΟΓΙΣΜΟΙ!AX27,pin!$D$5:$T$5,0))+0.4*(AY27-AE27)*(INDEX(pin!$D$6:$T$42,MATCH(ΥΠΟΛΟΓΙΣΜΟΙ!AY27,pin!$B$6:$B$42,0),MATCH(ΥΠΟΛΟΓΙΣΜΟΙ!AX27,pin!$D$5:$T$5,0))-INDEX(pin!$D$6:$T$42,MATCH(ΥΠΟΛΟΓΙΣΜΟΙ!AZ27,pin!$B$6:$B$42,0),MATCH(ΥΠΟΛΟΓΙΣΜΟΙ!AX27,pin!$D$5:$T$5,0)))</f>
        <v>1</v>
      </c>
      <c r="BC27" s="188">
        <f>INDEX(pin!$X$6:$AN$42,MATCH(ΥΠΟΛΟΓΙΣΜΟΙ!AY27,pin!$V$6:$V$42,0),MATCH(ΥΠΟΛΟΓΙΣΜΟΙ!AW27,pin!$X$5:$AN$5,0))+0.4*(AY27-AE27)*(INDEX(pin!$X$6:$AN$42,MATCH(ΥΠΟΛΟΓΙΣΜΟΙ!AY27,pin!$V$6:$V$42,0),MATCH(ΥΠΟΛΟΓΙΣΜΟΙ!AW27,pin!$X$5:$AN$5,0))-INDEX(pin!$X$6:$AN$42,MATCH(ΥΠΟΛΟΓΙΣΜΟΙ!AZ27,pin!$V$6:$V$42,0),MATCH(ΥΠΟΛΟΓΙΣΜΟΙ!AW27,pin!$X$5:$AN$5,0)))</f>
        <v>1</v>
      </c>
      <c r="BD27" s="188">
        <f>INDEX(pin!$X$6:$AN$42,MATCH(ΥΠΟΛΟΓΙΣΜΟΙ!AY27,pin!$V$6:$V$42,0),MATCH(ΥΠΟΛΟΓΙΣΜΟΙ!AX27,pin!$X$5:$AN$5,0))+0.4*(AY27-AE27)*(INDEX(pin!$X$6:$AN$42,MATCH(ΥΠΟΛΟΓΙΣΜΟΙ!AY27,pin!$V$6:$V$42,0),MATCH(ΥΠΟΛΟΓΙΣΜΟΙ!AX27,pin!$X$5:$AN$5,0))-INDEX(pin!$X$6:$AN$42,MATCH(ΥΠΟΛΟΓΙΣΜΟΙ!AZ27,pin!$V$6:$V$42,0),MATCH(ΥΠΟΛΟΓΙΣΜΟΙ!AX27,pin!$X$5:$AN$5,0)))</f>
        <v>1</v>
      </c>
      <c r="BE27" s="187">
        <f t="shared" si="22"/>
        <v>0</v>
      </c>
      <c r="BF27" s="188">
        <f t="shared" si="23"/>
        <v>0</v>
      </c>
      <c r="BG27" s="188">
        <f>INDEX(pin!$D$48:$T$84,MATCH(ΥΠΟΛΟΓΙΣΜΟΙ!BE27,pin!$B$48:$B$84,0),MATCH(ΥΠΟΛΟΓΙΣΜΟΙ!AW27,pin!$D$47:$T$47,0))+0.4*(BE27-AF27)*(INDEX(pin!$D$48:$T$84,MATCH(ΥΠΟΛΟΓΙΣΜΟΙ!BE27,pin!$B$48:$B$84,0),MATCH(ΥΠΟΛΟΓΙΣΜΟΙ!AW27,pin!$D$47:$T$47,0))-INDEX(pin!$D$48:$T$84,MATCH(ΥΠΟΛΟΓΙΣΜΟΙ!BF27,pin!$B$48:$B$84,0),MATCH(ΥΠΟΛΟΓΙΣΜΟΙ!AW27,pin!$D$47:$T$47,0)))</f>
        <v>1</v>
      </c>
      <c r="BH27" s="188">
        <f>INDEX(pin!$D$48:$T$84,MATCH(ΥΠΟΛΟΓΙΣΜΟΙ!BE27,pin!$B$48:$B$84,0),MATCH(ΥΠΟΛΟΓΙΣΜΟΙ!AX27,pin!$D$47:$T$47,0))+0.4*(BE27-AF27)*(INDEX(pin!$D$48:$T$84,MATCH(ΥΠΟΛΟΓΙΣΜΟΙ!BE27,pin!$B$48:$B$84,0),MATCH(ΥΠΟΛΟΓΙΣΜΟΙ!AX27,pin!$D$47:$T$47,0))-INDEX(pin!$D$48:$T$84,MATCH(ΥΠΟΛΟΓΙΣΜΟΙ!BF27,pin!$B$48:$B$84,0),MATCH(ΥΠΟΛΟΓΙΣΜΟΙ!AX27,pin!$D$47:$T$47,0)))</f>
        <v>1</v>
      </c>
      <c r="BI27" s="187">
        <f>INDEX(pin!$X$48:$AN$84,MATCH(ΥΠΟΛΟΓΙΣΜΟΙ!BE27,pin!$V$48:$V$84,0),MATCH(ΥΠΟΛΟΓΙΣΜΟΙ!AW27,pin!$X$47:$AN$47,0))+0.4*(BE27-AF27)*(INDEX(pin!$X$48:$AN$84,MATCH(ΥΠΟΛΟΓΙΣΜΟΙ!BE27,pin!$V$48:$V$84,0),MATCH(ΥΠΟΛΟΓΙΣΜΟΙ!AW27,pin!$X$47:$AN$47,0))-INDEX(pin!$X$48:$AN$84,MATCH(ΥΠΟΛΟΓΙΣΜΟΙ!BF27,pin!$V$48:$V$84,0),MATCH(ΥΠΟΛΟΓΙΣΜΟΙ!AW27,pin!$X$47:$AN$47,0)))</f>
        <v>1</v>
      </c>
      <c r="BJ27" s="203">
        <f>INDEX(pin!$X$48:$AN$84,MATCH(ΥΠΟΛΟΓΙΣΜΟΙ!BE27,pin!$V$48:$V$84,0),MATCH(ΥΠΟΛΟΓΙΣΜΟΙ!AX27,pin!$X$47:$AN$47,0))+0.4*(BE27-AF27)*(INDEX(pin!$X$48:$AN$84,MATCH(ΥΠΟΛΟΓΙΣΜΟΙ!BE27,pin!$V$48:$V$84,0),MATCH(ΥΠΟΛΟΓΙΣΜΟΙ!AX27,pin!$X$47:$AN$47,0))-INDEX(pin!$X$48:$AN$84,MATCH(ΥΠΟΛΟΓΙΣΜΟΙ!BF27,pin!$V$48:$V$84,0),MATCH(ΥΠΟΛΟΓΙΣΜΟΙ!AX27,pin!$X$47:$AN$47,0)))</f>
        <v>1</v>
      </c>
      <c r="BK27" s="187">
        <f t="shared" si="24"/>
        <v>0</v>
      </c>
      <c r="BL27" s="188">
        <f t="shared" si="25"/>
        <v>0</v>
      </c>
      <c r="BM27" s="188">
        <f>INDEX(pin!$X$48:$AN$84,MATCH(ΥΠΟΛΟΓΙΣΜΟΙ!BK27,pin!$V$48:$V$84,0),MATCH(ΥΠΟΛΟΓΙΣΜΟΙ!AW27,pin!$X$47:$AN$47,0))+0.4*(BK27-AG27)*(INDEX(pin!$X$48:$AN$84,MATCH(ΥΠΟΛΟΓΙΣΜΟΙ!BK27,pin!$V$48:$V$84,0),MATCH(ΥΠΟΛΟΓΙΣΜΟΙ!AW27,pin!$X$47:$AN$47,0))-INDEX(pin!$X$48:$AN$84,MATCH(ΥΠΟΛΟΓΙΣΜΟΙ!BL27,pin!$V$48:$V$84,0),MATCH(ΥΠΟΛΟΓΙΣΜΟΙ!AW27,pin!$X$47:$AN$47,0)))</f>
        <v>1</v>
      </c>
      <c r="BN27" s="203">
        <f>INDEX(pin!$X$48:$AN$84,MATCH(ΥΠΟΛΟΓΙΣΜΟΙ!BK27,pin!$V$48:$V$84,0),MATCH(ΥΠΟΛΟΓΙΣΜΟΙ!AX27,pin!$X$47:$AN$47,0))+0.4*(BK27-AG27)*(INDEX(pin!$X$48:$AN$84,MATCH(ΥΠΟΛΟΓΙΣΜΟΙ!BK27,pin!$V$48:$V$84,0),MATCH(ΥΠΟΛΟΓΙΣΜΟΙ!AX27,pin!$X$47:$AN$47,0))-INDEX(pin!$X$48:$AN$84,MATCH(ΥΠΟΛΟΓΙΣΜΟΙ!BL27,pin!$V$48:$V$84,0),MATCH(ΥΠΟΛΟΓΙΣΜΟΙ!AX27,pin!$X$47:$AN$47,0)))</f>
        <v>1</v>
      </c>
      <c r="BO27" s="187">
        <f t="shared" si="26"/>
        <v>0</v>
      </c>
      <c r="BP27" s="188">
        <f t="shared" si="27"/>
        <v>0</v>
      </c>
      <c r="BQ27" s="188">
        <f>INDEX(pin!$D$114:$T$132,MATCH(ΥΠΟΛΟΓΙΣΜΟΙ!BO27,pin!$B$114:$B$132,0),MATCH(ΥΠΟΛΟΓΙΣΜΟΙ!AW27,pin!$D$113:$T$113,0))+0.2*(BO27-AH27)*(INDEX(pin!$D$114:$T$132,MATCH(ΥΠΟΛΟΓΙΣΜΟΙ!BO27,pin!$B$114:$B$132,0),MATCH(ΥΠΟΛΟΓΙΣΜΟΙ!AW27,pin!$D$113:$T$113,0))-INDEX(pin!$D$114:$T$132,MATCH(ΥΠΟΛΟΓΙΣΜΟΙ!BP27,pin!$B$114:$B$132,0),MATCH(ΥΠΟΛΟΓΙΣΜΟΙ!AW27,pin!$D$113:$T$113,0)))</f>
        <v>1</v>
      </c>
      <c r="BR27" s="188">
        <f>INDEX(pin!$D$114:$T$132,MATCH(ΥΠΟΛΟΓΙΣΜΟΙ!BO27,pin!$B$114:$B$132,0),MATCH(ΥΠΟΛΟΓΙΣΜΟΙ!AX27,pin!$D$113:$T$113,0))+0.2*(BO27-AH27)*(INDEX(pin!$D$114:$T$132,MATCH(ΥΠΟΛΟΓΙΣΜΟΙ!BO27,pin!$B$114:$B$132,0),MATCH(ΥΠΟΛΟΓΙΣΜΟΙ!AX27,pin!$D$113:$T$113,0))-INDEX(pin!$D$114:$T$132,MATCH(ΥΠΟΛΟΓΙΣΜΟΙ!BP27,pin!$B$114:$B$132,0),MATCH(ΥΠΟΛΟΓΙΣΜΟΙ!AX27,pin!$D$113:$T$113,0)))</f>
        <v>1</v>
      </c>
      <c r="BS27" s="187">
        <f>INDEX(pin!$X$114:$AN$132,MATCH(ΥΠΟΛΟΓΙΣΜΟΙ!BO27,pin!$V$114:$V$132,0),MATCH(ΥΠΟΛΟΓΙΣΜΟΙ!AW27,pin!$X$113:$AN$113,0))+0.2*(BO27-AH27)*(INDEX(pin!$X$114:$AN$132,MATCH(ΥΠΟΛΟΓΙΣΜΟΙ!BO27,pin!$V$114:$V$132,0),MATCH(ΥΠΟΛΟΓΙΣΜΟΙ!AW27,pin!$X$113:$AN$113,0))-INDEX(pin!$X$114:$AN$132,MATCH(ΥΠΟΛΟΓΙΣΜΟΙ!BP27,pin!$V$114:$V$132,0),MATCH(ΥΠΟΛΟΓΙΣΜΟΙ!AW27,pin!$X$113:$AN$113,0)))</f>
        <v>1</v>
      </c>
      <c r="BT27" s="203">
        <f>INDEX(pin!$X$114:$AN$132,MATCH(ΥΠΟΛΟΓΙΣΜΟΙ!BO27,pin!$V$114:$V$132,0),MATCH(ΥΠΟΛΟΓΙΣΜΟΙ!AX27,pin!$X$113:$AN$113,0))+0.2*(BO27-AH27)*(INDEX(pin!$X$114:$AN$132,MATCH(ΥΠΟΛΟΓΙΣΜΟΙ!BO27,pin!$V$114:$V$132,0),MATCH(ΥΠΟΛΟΓΙΣΜΟΙ!AX27,pin!$X$113:$AN$113,0))-INDEX(pin!$X$114:$AN$132,MATCH(ΥΠΟΛΟΓΙΣΜΟΙ!BP27,pin!$V$114:$V$132,0),MATCH(ΥΠΟΛΟΓΙΣΜΟΙ!AX27,pin!$X$113:$AN$113,0)))</f>
        <v>1</v>
      </c>
      <c r="BU27" s="187">
        <f t="shared" si="28"/>
        <v>0</v>
      </c>
      <c r="BV27" s="188">
        <f t="shared" si="29"/>
        <v>0</v>
      </c>
      <c r="BW27" s="188">
        <f>INDEX(pin!$D$90:$T$108,MATCH(ΥΠΟΛΟΓΙΣΜΟΙ!BU27,pin!$B$90:$B$108,0),MATCH(ΥΠΟΛΟΓΙΣΜΟΙ!AW27,pin!$D$89:$T$89,0))+0.2*(BU27-AI27)*(INDEX(pin!$D$90:$T$108,MATCH(ΥΠΟΛΟΓΙΣΜΟΙ!BU27,pin!$B$90:$B$108,0),MATCH(ΥΠΟΛΟΓΙΣΜΟΙ!AW27,pin!$D$89:$T$89,0))-INDEX(pin!$D$90:$T$108,MATCH(ΥΠΟΛΟΓΙΣΜΟΙ!BV27,pin!$B$90:$B$108,0),MATCH(ΥΠΟΛΟΓΙΣΜΟΙ!AW27,pin!$D$89:$T$89,0)))</f>
        <v>1</v>
      </c>
      <c r="BX27" s="203">
        <f>INDEX(pin!$D$90:$T$108,MATCH(ΥΠΟΛΟΓΙΣΜΟΙ!BU27,pin!$B$90:$B$108,0),MATCH(ΥΠΟΛΟΓΙΣΜΟΙ!AX27,pin!$D$89:$T$89,0))+0.2*(BU27-AI27)*(INDEX(pin!$D$90:$T$108,MATCH(ΥΠΟΛΟΓΙΣΜΟΙ!BU27,pin!$B$90:$B$108,0),MATCH(ΥΠΟΛΟΓΙΣΜΟΙ!AX27,pin!$D$89:$T$89,0))-INDEX(pin!$D$90:$T$108,MATCH(ΥΠΟΛΟΓΙΣΜΟΙ!BV27,pin!$B$90:$B$108,0),MATCH(ΥΠΟΛΟΓΙΣΜΟΙ!AX27,pin!$D$89:$T$89,0)))</f>
        <v>1</v>
      </c>
      <c r="BY27" s="188">
        <f>INDEX(pin!$X$90:$AN$108,MATCH(ΥΠΟΛΟΓΙΣΜΟΙ!BU27,pin!$V$90:$V$108,0),MATCH(ΥΠΟΛΟΓΙΣΜΟΙ!AW27,pin!$X$89:$AN$89,0))+0.2*(BU27-AI27)*(INDEX(pin!$X$90:$AN$108,MATCH(ΥΠΟΛΟΓΙΣΜΟΙ!BU27,pin!$V$90:$V$108,0),MATCH(ΥΠΟΛΟΓΙΣΜΟΙ!AW27,pin!$X$89:$AN$89,0))-INDEX(pin!$X$90:$AN$108,MATCH(ΥΠΟΛΟΓΙΣΜΟΙ!BV27,pin!$V$90:$V$108,0),MATCH(ΥΠΟΛΟΓΙΣΜΟΙ!AW27,pin!$X$89:$AN$89,0)))</f>
        <v>1</v>
      </c>
      <c r="BZ27" s="203">
        <f>INDEX(pin!$X$90:$AN$108,MATCH(ΥΠΟΛΟΓΙΣΜΟΙ!BU27,pin!$V$90:$V$108,0),MATCH(ΥΠΟΛΟΓΙΣΜΟΙ!AX27,pin!$X$89:$AN$89,0))+0.2*(BU27-AI27)*(INDEX(pin!$X$90:$AN$108,MATCH(ΥΠΟΛΟΓΙΣΜΟΙ!BU27,pin!$V$90:$V$108,0),MATCH(ΥΠΟΛΟΓΙΣΜΟΙ!AX27,pin!$X$89:$AN$89,0))-INDEX(pin!$X$90:$AN$108,MATCH(ΥΠΟΛΟΓΙΣΜΟΙ!BV27,pin!$V$90:$V$108,0),MATCH(ΥΠΟΛΟΓΙΣΜΟΙ!AX27,pin!$X$89:$AN$89,0)))</f>
        <v>1</v>
      </c>
      <c r="CA27" s="191"/>
      <c r="DI27" s="232"/>
    </row>
    <row r="28" spans="1:119">
      <c r="A28" s="56">
        <v>12</v>
      </c>
      <c r="B28" s="118"/>
      <c r="C28" s="116"/>
      <c r="D28" s="116"/>
      <c r="E28" s="47" t="str">
        <f t="shared" si="1"/>
        <v>-</v>
      </c>
      <c r="F28" s="116"/>
      <c r="G28" s="239" t="str">
        <f t="shared" si="2"/>
        <v>-</v>
      </c>
      <c r="H28" s="240"/>
      <c r="I28" s="116"/>
      <c r="J28" s="116"/>
      <c r="K28" s="236" t="str">
        <f t="shared" si="3"/>
        <v>-</v>
      </c>
      <c r="L28" s="235"/>
      <c r="M28" s="235"/>
      <c r="N28" s="529" t="s">
        <v>671</v>
      </c>
      <c r="O28" s="46">
        <f t="shared" si="4"/>
        <v>1</v>
      </c>
      <c r="P28" s="120">
        <f t="shared" si="30"/>
        <v>1</v>
      </c>
      <c r="Q28" s="46">
        <f t="shared" si="5"/>
        <v>1</v>
      </c>
      <c r="R28" s="120">
        <f t="shared" si="6"/>
        <v>1</v>
      </c>
      <c r="S28" s="46">
        <f t="shared" si="7"/>
        <v>1</v>
      </c>
      <c r="T28" s="120">
        <f t="shared" si="8"/>
        <v>1</v>
      </c>
      <c r="U28" s="121"/>
      <c r="V28" s="122"/>
      <c r="W28" s="116"/>
      <c r="X28" s="117"/>
      <c r="Y28" s="163"/>
      <c r="Z28" s="122"/>
      <c r="AA28" s="116"/>
      <c r="AB28" s="116"/>
      <c r="AC28" s="121"/>
      <c r="AD28" s="117"/>
      <c r="AE28" s="204">
        <f t="shared" si="0"/>
        <v>0</v>
      </c>
      <c r="AF28" s="180">
        <f t="shared" si="9"/>
        <v>0</v>
      </c>
      <c r="AG28" s="180">
        <f t="shared" si="10"/>
        <v>0</v>
      </c>
      <c r="AH28" s="180">
        <f t="shared" si="11"/>
        <v>0</v>
      </c>
      <c r="AI28" s="180">
        <f t="shared" si="12"/>
        <v>0</v>
      </c>
      <c r="AJ28" s="181">
        <f t="shared" si="13"/>
        <v>1</v>
      </c>
      <c r="AK28" s="181">
        <f t="shared" si="14"/>
        <v>1</v>
      </c>
      <c r="AL28" s="181">
        <f t="shared" si="15"/>
        <v>1</v>
      </c>
      <c r="AM28" s="181">
        <f t="shared" si="16"/>
        <v>1</v>
      </c>
      <c r="AN28" s="187">
        <f t="shared" si="17"/>
        <v>0</v>
      </c>
      <c r="AO28" s="188"/>
      <c r="AP28" s="188"/>
      <c r="AQ28" s="188"/>
      <c r="AR28" s="188"/>
      <c r="AS28" s="188"/>
      <c r="AT28" s="188"/>
      <c r="AU28" s="188"/>
      <c r="AV28" s="188" t="s">
        <v>256</v>
      </c>
      <c r="AW28" s="188">
        <f t="shared" si="18"/>
        <v>0</v>
      </c>
      <c r="AX28" s="203">
        <f t="shared" si="19"/>
        <v>0</v>
      </c>
      <c r="AY28" s="187">
        <f t="shared" si="20"/>
        <v>0</v>
      </c>
      <c r="AZ28" s="188">
        <f t="shared" si="21"/>
        <v>0</v>
      </c>
      <c r="BA28" s="188">
        <f>INDEX(pin!$D$6:$T$42,MATCH(ΥΠΟΛΟΓΙΣΜΟΙ!AY28,pin!$B$6:$B$42,0),MATCH(ΥΠΟΛΟΓΙΣΜΟΙ!AW28,pin!$D$5:$T$5,0))+0.4*(AY28-AE28)*(INDEX(pin!$D$6:$T$42,MATCH(ΥΠΟΛΟΓΙΣΜΟΙ!AY28,pin!$B$6:$B$42,0),MATCH(ΥΠΟΛΟΓΙΣΜΟΙ!AW28,pin!$D$5:$T$5,0))-INDEX(pin!$D$6:$T$42,MATCH(ΥΠΟΛΟΓΙΣΜΟΙ!AZ28,pin!$B$6:$B$42,0),MATCH(ΥΠΟΛΟΓΙΣΜΟΙ!AW28,pin!$D$5:$T$5,0)))</f>
        <v>1</v>
      </c>
      <c r="BB28" s="203">
        <f>INDEX(pin!$D$6:$T$42,MATCH(ΥΠΟΛΟΓΙΣΜΟΙ!AY28,pin!$B$6:$B$42,0),MATCH(ΥΠΟΛΟΓΙΣΜΟΙ!AX28,pin!$D$5:$T$5,0))+0.4*(AY28-AE28)*(INDEX(pin!$D$6:$T$42,MATCH(ΥΠΟΛΟΓΙΣΜΟΙ!AY28,pin!$B$6:$B$42,0),MATCH(ΥΠΟΛΟΓΙΣΜΟΙ!AX28,pin!$D$5:$T$5,0))-INDEX(pin!$D$6:$T$42,MATCH(ΥΠΟΛΟΓΙΣΜΟΙ!AZ28,pin!$B$6:$B$42,0),MATCH(ΥΠΟΛΟΓΙΣΜΟΙ!AX28,pin!$D$5:$T$5,0)))</f>
        <v>1</v>
      </c>
      <c r="BC28" s="188">
        <f>INDEX(pin!$X$6:$AN$42,MATCH(ΥΠΟΛΟΓΙΣΜΟΙ!AY28,pin!$V$6:$V$42,0),MATCH(ΥΠΟΛΟΓΙΣΜΟΙ!AW28,pin!$X$5:$AN$5,0))+0.4*(AY28-AE28)*(INDEX(pin!$X$6:$AN$42,MATCH(ΥΠΟΛΟΓΙΣΜΟΙ!AY28,pin!$V$6:$V$42,0),MATCH(ΥΠΟΛΟΓΙΣΜΟΙ!AW28,pin!$X$5:$AN$5,0))-INDEX(pin!$X$6:$AN$42,MATCH(ΥΠΟΛΟΓΙΣΜΟΙ!AZ28,pin!$V$6:$V$42,0),MATCH(ΥΠΟΛΟΓΙΣΜΟΙ!AW28,pin!$X$5:$AN$5,0)))</f>
        <v>1</v>
      </c>
      <c r="BD28" s="188">
        <f>INDEX(pin!$X$6:$AN$42,MATCH(ΥΠΟΛΟΓΙΣΜΟΙ!AY28,pin!$V$6:$V$42,0),MATCH(ΥΠΟΛΟΓΙΣΜΟΙ!AX28,pin!$X$5:$AN$5,0))+0.4*(AY28-AE28)*(INDEX(pin!$X$6:$AN$42,MATCH(ΥΠΟΛΟΓΙΣΜΟΙ!AY28,pin!$V$6:$V$42,0),MATCH(ΥΠΟΛΟΓΙΣΜΟΙ!AX28,pin!$X$5:$AN$5,0))-INDEX(pin!$X$6:$AN$42,MATCH(ΥΠΟΛΟΓΙΣΜΟΙ!AZ28,pin!$V$6:$V$42,0),MATCH(ΥΠΟΛΟΓΙΣΜΟΙ!AX28,pin!$X$5:$AN$5,0)))</f>
        <v>1</v>
      </c>
      <c r="BE28" s="187">
        <f t="shared" si="22"/>
        <v>0</v>
      </c>
      <c r="BF28" s="188">
        <f t="shared" si="23"/>
        <v>0</v>
      </c>
      <c r="BG28" s="188">
        <f>INDEX(pin!$D$48:$T$84,MATCH(ΥΠΟΛΟΓΙΣΜΟΙ!BE28,pin!$B$48:$B$84,0),MATCH(ΥΠΟΛΟΓΙΣΜΟΙ!AW28,pin!$D$47:$T$47,0))+0.4*(BE28-AF28)*(INDEX(pin!$D$48:$T$84,MATCH(ΥΠΟΛΟΓΙΣΜΟΙ!BE28,pin!$B$48:$B$84,0),MATCH(ΥΠΟΛΟΓΙΣΜΟΙ!AW28,pin!$D$47:$T$47,0))-INDEX(pin!$D$48:$T$84,MATCH(ΥΠΟΛΟΓΙΣΜΟΙ!BF28,pin!$B$48:$B$84,0),MATCH(ΥΠΟΛΟΓΙΣΜΟΙ!AW28,pin!$D$47:$T$47,0)))</f>
        <v>1</v>
      </c>
      <c r="BH28" s="188">
        <f>INDEX(pin!$D$48:$T$84,MATCH(ΥΠΟΛΟΓΙΣΜΟΙ!BE28,pin!$B$48:$B$84,0),MATCH(ΥΠΟΛΟΓΙΣΜΟΙ!AX28,pin!$D$47:$T$47,0))+0.4*(BE28-AF28)*(INDEX(pin!$D$48:$T$84,MATCH(ΥΠΟΛΟΓΙΣΜΟΙ!BE28,pin!$B$48:$B$84,0),MATCH(ΥΠΟΛΟΓΙΣΜΟΙ!AX28,pin!$D$47:$T$47,0))-INDEX(pin!$D$48:$T$84,MATCH(ΥΠΟΛΟΓΙΣΜΟΙ!BF28,pin!$B$48:$B$84,0),MATCH(ΥΠΟΛΟΓΙΣΜΟΙ!AX28,pin!$D$47:$T$47,0)))</f>
        <v>1</v>
      </c>
      <c r="BI28" s="187">
        <f>INDEX(pin!$X$48:$AN$84,MATCH(ΥΠΟΛΟΓΙΣΜΟΙ!BE28,pin!$V$48:$V$84,0),MATCH(ΥΠΟΛΟΓΙΣΜΟΙ!AW28,pin!$X$47:$AN$47,0))+0.4*(BE28-AF28)*(INDEX(pin!$X$48:$AN$84,MATCH(ΥΠΟΛΟΓΙΣΜΟΙ!BE28,pin!$V$48:$V$84,0),MATCH(ΥΠΟΛΟΓΙΣΜΟΙ!AW28,pin!$X$47:$AN$47,0))-INDEX(pin!$X$48:$AN$84,MATCH(ΥΠΟΛΟΓΙΣΜΟΙ!BF28,pin!$V$48:$V$84,0),MATCH(ΥΠΟΛΟΓΙΣΜΟΙ!AW28,pin!$X$47:$AN$47,0)))</f>
        <v>1</v>
      </c>
      <c r="BJ28" s="203">
        <f>INDEX(pin!$X$48:$AN$84,MATCH(ΥΠΟΛΟΓΙΣΜΟΙ!BE28,pin!$V$48:$V$84,0),MATCH(ΥΠΟΛΟΓΙΣΜΟΙ!AX28,pin!$X$47:$AN$47,0))+0.4*(BE28-AF28)*(INDEX(pin!$X$48:$AN$84,MATCH(ΥΠΟΛΟΓΙΣΜΟΙ!BE28,pin!$V$48:$V$84,0),MATCH(ΥΠΟΛΟΓΙΣΜΟΙ!AX28,pin!$X$47:$AN$47,0))-INDEX(pin!$X$48:$AN$84,MATCH(ΥΠΟΛΟΓΙΣΜΟΙ!BF28,pin!$V$48:$V$84,0),MATCH(ΥΠΟΛΟΓΙΣΜΟΙ!AX28,pin!$X$47:$AN$47,0)))</f>
        <v>1</v>
      </c>
      <c r="BK28" s="187">
        <f t="shared" si="24"/>
        <v>0</v>
      </c>
      <c r="BL28" s="188">
        <f t="shared" si="25"/>
        <v>0</v>
      </c>
      <c r="BM28" s="188">
        <f>INDEX(pin!$X$48:$AN$84,MATCH(ΥΠΟΛΟΓΙΣΜΟΙ!BK28,pin!$V$48:$V$84,0),MATCH(ΥΠΟΛΟΓΙΣΜΟΙ!AW28,pin!$X$47:$AN$47,0))+0.4*(BK28-AG28)*(INDEX(pin!$X$48:$AN$84,MATCH(ΥΠΟΛΟΓΙΣΜΟΙ!BK28,pin!$V$48:$V$84,0),MATCH(ΥΠΟΛΟΓΙΣΜΟΙ!AW28,pin!$X$47:$AN$47,0))-INDEX(pin!$X$48:$AN$84,MATCH(ΥΠΟΛΟΓΙΣΜΟΙ!BL28,pin!$V$48:$V$84,0),MATCH(ΥΠΟΛΟΓΙΣΜΟΙ!AW28,pin!$X$47:$AN$47,0)))</f>
        <v>1</v>
      </c>
      <c r="BN28" s="203">
        <f>INDEX(pin!$X$48:$AN$84,MATCH(ΥΠΟΛΟΓΙΣΜΟΙ!BK28,pin!$V$48:$V$84,0),MATCH(ΥΠΟΛΟΓΙΣΜΟΙ!AX28,pin!$X$47:$AN$47,0))+0.4*(BK28-AG28)*(INDEX(pin!$X$48:$AN$84,MATCH(ΥΠΟΛΟΓΙΣΜΟΙ!BK28,pin!$V$48:$V$84,0),MATCH(ΥΠΟΛΟΓΙΣΜΟΙ!AX28,pin!$X$47:$AN$47,0))-INDEX(pin!$X$48:$AN$84,MATCH(ΥΠΟΛΟΓΙΣΜΟΙ!BL28,pin!$V$48:$V$84,0),MATCH(ΥΠΟΛΟΓΙΣΜΟΙ!AX28,pin!$X$47:$AN$47,0)))</f>
        <v>1</v>
      </c>
      <c r="BO28" s="187">
        <f t="shared" si="26"/>
        <v>0</v>
      </c>
      <c r="BP28" s="188">
        <f t="shared" si="27"/>
        <v>0</v>
      </c>
      <c r="BQ28" s="188">
        <f>INDEX(pin!$D$114:$T$132,MATCH(ΥΠΟΛΟΓΙΣΜΟΙ!BO28,pin!$B$114:$B$132,0),MATCH(ΥΠΟΛΟΓΙΣΜΟΙ!AW28,pin!$D$113:$T$113,0))+0.2*(BO28-AH28)*(INDEX(pin!$D$114:$T$132,MATCH(ΥΠΟΛΟΓΙΣΜΟΙ!BO28,pin!$B$114:$B$132,0),MATCH(ΥΠΟΛΟΓΙΣΜΟΙ!AW28,pin!$D$113:$T$113,0))-INDEX(pin!$D$114:$T$132,MATCH(ΥΠΟΛΟΓΙΣΜΟΙ!BP28,pin!$B$114:$B$132,0),MATCH(ΥΠΟΛΟΓΙΣΜΟΙ!AW28,pin!$D$113:$T$113,0)))</f>
        <v>1</v>
      </c>
      <c r="BR28" s="188">
        <f>INDEX(pin!$D$114:$T$132,MATCH(ΥΠΟΛΟΓΙΣΜΟΙ!BO28,pin!$B$114:$B$132,0),MATCH(ΥΠΟΛΟΓΙΣΜΟΙ!AX28,pin!$D$113:$T$113,0))+0.2*(BO28-AH28)*(INDEX(pin!$D$114:$T$132,MATCH(ΥΠΟΛΟΓΙΣΜΟΙ!BO28,pin!$B$114:$B$132,0),MATCH(ΥΠΟΛΟΓΙΣΜΟΙ!AX28,pin!$D$113:$T$113,0))-INDEX(pin!$D$114:$T$132,MATCH(ΥΠΟΛΟΓΙΣΜΟΙ!BP28,pin!$B$114:$B$132,0),MATCH(ΥΠΟΛΟΓΙΣΜΟΙ!AX28,pin!$D$113:$T$113,0)))</f>
        <v>1</v>
      </c>
      <c r="BS28" s="187">
        <f>INDEX(pin!$X$114:$AN$132,MATCH(ΥΠΟΛΟΓΙΣΜΟΙ!BO28,pin!$V$114:$V$132,0),MATCH(ΥΠΟΛΟΓΙΣΜΟΙ!AW28,pin!$X$113:$AN$113,0))+0.2*(BO28-AH28)*(INDEX(pin!$X$114:$AN$132,MATCH(ΥΠΟΛΟΓΙΣΜΟΙ!BO28,pin!$V$114:$V$132,0),MATCH(ΥΠΟΛΟΓΙΣΜΟΙ!AW28,pin!$X$113:$AN$113,0))-INDEX(pin!$X$114:$AN$132,MATCH(ΥΠΟΛΟΓΙΣΜΟΙ!BP28,pin!$V$114:$V$132,0),MATCH(ΥΠΟΛΟΓΙΣΜΟΙ!AW28,pin!$X$113:$AN$113,0)))</f>
        <v>1</v>
      </c>
      <c r="BT28" s="203">
        <f>INDEX(pin!$X$114:$AN$132,MATCH(ΥΠΟΛΟΓΙΣΜΟΙ!BO28,pin!$V$114:$V$132,0),MATCH(ΥΠΟΛΟΓΙΣΜΟΙ!AX28,pin!$X$113:$AN$113,0))+0.2*(BO28-AH28)*(INDEX(pin!$X$114:$AN$132,MATCH(ΥΠΟΛΟΓΙΣΜΟΙ!BO28,pin!$V$114:$V$132,0),MATCH(ΥΠΟΛΟΓΙΣΜΟΙ!AX28,pin!$X$113:$AN$113,0))-INDEX(pin!$X$114:$AN$132,MATCH(ΥΠΟΛΟΓΙΣΜΟΙ!BP28,pin!$V$114:$V$132,0),MATCH(ΥΠΟΛΟΓΙΣΜΟΙ!AX28,pin!$X$113:$AN$113,0)))</f>
        <v>1</v>
      </c>
      <c r="BU28" s="187">
        <f t="shared" si="28"/>
        <v>0</v>
      </c>
      <c r="BV28" s="188">
        <f t="shared" si="29"/>
        <v>0</v>
      </c>
      <c r="BW28" s="188">
        <f>INDEX(pin!$D$90:$T$108,MATCH(ΥΠΟΛΟΓΙΣΜΟΙ!BU28,pin!$B$90:$B$108,0),MATCH(ΥΠΟΛΟΓΙΣΜΟΙ!AW28,pin!$D$89:$T$89,0))+0.2*(BU28-AI28)*(INDEX(pin!$D$90:$T$108,MATCH(ΥΠΟΛΟΓΙΣΜΟΙ!BU28,pin!$B$90:$B$108,0),MATCH(ΥΠΟΛΟΓΙΣΜΟΙ!AW28,pin!$D$89:$T$89,0))-INDEX(pin!$D$90:$T$108,MATCH(ΥΠΟΛΟΓΙΣΜΟΙ!BV28,pin!$B$90:$B$108,0),MATCH(ΥΠΟΛΟΓΙΣΜΟΙ!AW28,pin!$D$89:$T$89,0)))</f>
        <v>1</v>
      </c>
      <c r="BX28" s="203">
        <f>INDEX(pin!$D$90:$T$108,MATCH(ΥΠΟΛΟΓΙΣΜΟΙ!BU28,pin!$B$90:$B$108,0),MATCH(ΥΠΟΛΟΓΙΣΜΟΙ!AX28,pin!$D$89:$T$89,0))+0.2*(BU28-AI28)*(INDEX(pin!$D$90:$T$108,MATCH(ΥΠΟΛΟΓΙΣΜΟΙ!BU28,pin!$B$90:$B$108,0),MATCH(ΥΠΟΛΟΓΙΣΜΟΙ!AX28,pin!$D$89:$T$89,0))-INDEX(pin!$D$90:$T$108,MATCH(ΥΠΟΛΟΓΙΣΜΟΙ!BV28,pin!$B$90:$B$108,0),MATCH(ΥΠΟΛΟΓΙΣΜΟΙ!AX28,pin!$D$89:$T$89,0)))</f>
        <v>1</v>
      </c>
      <c r="BY28" s="188">
        <f>INDEX(pin!$X$90:$AN$108,MATCH(ΥΠΟΛΟΓΙΣΜΟΙ!BU28,pin!$V$90:$V$108,0),MATCH(ΥΠΟΛΟΓΙΣΜΟΙ!AW28,pin!$X$89:$AN$89,0))+0.2*(BU28-AI28)*(INDEX(pin!$X$90:$AN$108,MATCH(ΥΠΟΛΟΓΙΣΜΟΙ!BU28,pin!$V$90:$V$108,0),MATCH(ΥΠΟΛΟΓΙΣΜΟΙ!AW28,pin!$X$89:$AN$89,0))-INDEX(pin!$X$90:$AN$108,MATCH(ΥΠΟΛΟΓΙΣΜΟΙ!BV28,pin!$V$90:$V$108,0),MATCH(ΥΠΟΛΟΓΙΣΜΟΙ!AW28,pin!$X$89:$AN$89,0)))</f>
        <v>1</v>
      </c>
      <c r="BZ28" s="203">
        <f>INDEX(pin!$X$90:$AN$108,MATCH(ΥΠΟΛΟΓΙΣΜΟΙ!BU28,pin!$V$90:$V$108,0),MATCH(ΥΠΟΛΟΓΙΣΜΟΙ!AX28,pin!$X$89:$AN$89,0))+0.2*(BU28-AI28)*(INDEX(pin!$X$90:$AN$108,MATCH(ΥΠΟΛΟΓΙΣΜΟΙ!BU28,pin!$V$90:$V$108,0),MATCH(ΥΠΟΛΟΓΙΣΜΟΙ!AX28,pin!$X$89:$AN$89,0))-INDEX(pin!$X$90:$AN$108,MATCH(ΥΠΟΛΟΓΙΣΜΟΙ!BV28,pin!$V$90:$V$108,0),MATCH(ΥΠΟΛΟΓΙΣΜΟΙ!AX28,pin!$X$89:$AN$89,0)))</f>
        <v>1</v>
      </c>
      <c r="CA28" s="191"/>
    </row>
    <row r="29" spans="1:119">
      <c r="A29" s="56">
        <v>13</v>
      </c>
      <c r="B29" s="118"/>
      <c r="C29" s="116"/>
      <c r="D29" s="116"/>
      <c r="E29" s="47" t="str">
        <f t="shared" si="1"/>
        <v>-</v>
      </c>
      <c r="F29" s="116"/>
      <c r="G29" s="239" t="str">
        <f t="shared" si="2"/>
        <v>-</v>
      </c>
      <c r="H29" s="240"/>
      <c r="I29" s="116"/>
      <c r="J29" s="116"/>
      <c r="K29" s="236" t="str">
        <f t="shared" si="3"/>
        <v>-</v>
      </c>
      <c r="L29" s="235"/>
      <c r="M29" s="235"/>
      <c r="N29" s="529" t="s">
        <v>671</v>
      </c>
      <c r="O29" s="46">
        <f t="shared" si="4"/>
        <v>1</v>
      </c>
      <c r="P29" s="120">
        <f t="shared" si="30"/>
        <v>1</v>
      </c>
      <c r="Q29" s="46">
        <f t="shared" si="5"/>
        <v>1</v>
      </c>
      <c r="R29" s="120">
        <f t="shared" si="6"/>
        <v>1</v>
      </c>
      <c r="S29" s="46">
        <f t="shared" si="7"/>
        <v>1</v>
      </c>
      <c r="T29" s="120">
        <f t="shared" si="8"/>
        <v>1</v>
      </c>
      <c r="U29" s="121"/>
      <c r="V29" s="122"/>
      <c r="W29" s="116"/>
      <c r="X29" s="117"/>
      <c r="Y29" s="163"/>
      <c r="Z29" s="122"/>
      <c r="AA29" s="116"/>
      <c r="AB29" s="116"/>
      <c r="AC29" s="121"/>
      <c r="AD29" s="117"/>
      <c r="AE29" s="204">
        <f t="shared" si="0"/>
        <v>0</v>
      </c>
      <c r="AF29" s="180">
        <f t="shared" si="9"/>
        <v>0</v>
      </c>
      <c r="AG29" s="180">
        <f t="shared" si="10"/>
        <v>0</v>
      </c>
      <c r="AH29" s="180">
        <f t="shared" si="11"/>
        <v>0</v>
      </c>
      <c r="AI29" s="180">
        <f t="shared" si="12"/>
        <v>0</v>
      </c>
      <c r="AJ29" s="181">
        <f t="shared" si="13"/>
        <v>1</v>
      </c>
      <c r="AK29" s="181">
        <f t="shared" si="14"/>
        <v>1</v>
      </c>
      <c r="AL29" s="181">
        <f t="shared" si="15"/>
        <v>1</v>
      </c>
      <c r="AM29" s="181">
        <f t="shared" si="16"/>
        <v>1</v>
      </c>
      <c r="AN29" s="187">
        <f t="shared" si="17"/>
        <v>0</v>
      </c>
      <c r="AO29" s="188"/>
      <c r="AP29" s="188"/>
      <c r="AQ29" s="188"/>
      <c r="AR29" s="188"/>
      <c r="AS29" s="188"/>
      <c r="AT29" s="188"/>
      <c r="AU29" s="188"/>
      <c r="AV29" s="188" t="s">
        <v>256</v>
      </c>
      <c r="AW29" s="188">
        <f t="shared" si="18"/>
        <v>0</v>
      </c>
      <c r="AX29" s="203">
        <f t="shared" si="19"/>
        <v>0</v>
      </c>
      <c r="AY29" s="187">
        <f t="shared" si="20"/>
        <v>0</v>
      </c>
      <c r="AZ29" s="188">
        <f t="shared" si="21"/>
        <v>0</v>
      </c>
      <c r="BA29" s="188">
        <f>INDEX(pin!$D$6:$T$42,MATCH(ΥΠΟΛΟΓΙΣΜΟΙ!AY29,pin!$B$6:$B$42,0),MATCH(ΥΠΟΛΟΓΙΣΜΟΙ!AW29,pin!$D$5:$T$5,0))+0.4*(AY29-AE29)*(INDEX(pin!$D$6:$T$42,MATCH(ΥΠΟΛΟΓΙΣΜΟΙ!AY29,pin!$B$6:$B$42,0),MATCH(ΥΠΟΛΟΓΙΣΜΟΙ!AW29,pin!$D$5:$T$5,0))-INDEX(pin!$D$6:$T$42,MATCH(ΥΠΟΛΟΓΙΣΜΟΙ!AZ29,pin!$B$6:$B$42,0),MATCH(ΥΠΟΛΟΓΙΣΜΟΙ!AW29,pin!$D$5:$T$5,0)))</f>
        <v>1</v>
      </c>
      <c r="BB29" s="203">
        <f>INDEX(pin!$D$6:$T$42,MATCH(ΥΠΟΛΟΓΙΣΜΟΙ!AY29,pin!$B$6:$B$42,0),MATCH(ΥΠΟΛΟΓΙΣΜΟΙ!AX29,pin!$D$5:$T$5,0))+0.4*(AY29-AE29)*(INDEX(pin!$D$6:$T$42,MATCH(ΥΠΟΛΟΓΙΣΜΟΙ!AY29,pin!$B$6:$B$42,0),MATCH(ΥΠΟΛΟΓΙΣΜΟΙ!AX29,pin!$D$5:$T$5,0))-INDEX(pin!$D$6:$T$42,MATCH(ΥΠΟΛΟΓΙΣΜΟΙ!AZ29,pin!$B$6:$B$42,0),MATCH(ΥΠΟΛΟΓΙΣΜΟΙ!AX29,pin!$D$5:$T$5,0)))</f>
        <v>1</v>
      </c>
      <c r="BC29" s="188">
        <f>INDEX(pin!$X$6:$AN$42,MATCH(ΥΠΟΛΟΓΙΣΜΟΙ!AY29,pin!$V$6:$V$42,0),MATCH(ΥΠΟΛΟΓΙΣΜΟΙ!AW29,pin!$X$5:$AN$5,0))+0.4*(AY29-AE29)*(INDEX(pin!$X$6:$AN$42,MATCH(ΥΠΟΛΟΓΙΣΜΟΙ!AY29,pin!$V$6:$V$42,0),MATCH(ΥΠΟΛΟΓΙΣΜΟΙ!AW29,pin!$X$5:$AN$5,0))-INDEX(pin!$X$6:$AN$42,MATCH(ΥΠΟΛΟΓΙΣΜΟΙ!AZ29,pin!$V$6:$V$42,0),MATCH(ΥΠΟΛΟΓΙΣΜΟΙ!AW29,pin!$X$5:$AN$5,0)))</f>
        <v>1</v>
      </c>
      <c r="BD29" s="188">
        <f>INDEX(pin!$X$6:$AN$42,MATCH(ΥΠΟΛΟΓΙΣΜΟΙ!AY29,pin!$V$6:$V$42,0),MATCH(ΥΠΟΛΟΓΙΣΜΟΙ!AX29,pin!$X$5:$AN$5,0))+0.4*(AY29-AE29)*(INDEX(pin!$X$6:$AN$42,MATCH(ΥΠΟΛΟΓΙΣΜΟΙ!AY29,pin!$V$6:$V$42,0),MATCH(ΥΠΟΛΟΓΙΣΜΟΙ!AX29,pin!$X$5:$AN$5,0))-INDEX(pin!$X$6:$AN$42,MATCH(ΥΠΟΛΟΓΙΣΜΟΙ!AZ29,pin!$V$6:$V$42,0),MATCH(ΥΠΟΛΟΓΙΣΜΟΙ!AX29,pin!$X$5:$AN$5,0)))</f>
        <v>1</v>
      </c>
      <c r="BE29" s="187">
        <f t="shared" si="22"/>
        <v>0</v>
      </c>
      <c r="BF29" s="188">
        <f t="shared" si="23"/>
        <v>0</v>
      </c>
      <c r="BG29" s="188">
        <f>INDEX(pin!$D$48:$T$84,MATCH(ΥΠΟΛΟΓΙΣΜΟΙ!BE29,pin!$B$48:$B$84,0),MATCH(ΥΠΟΛΟΓΙΣΜΟΙ!AW29,pin!$D$47:$T$47,0))+0.4*(BE29-AF29)*(INDEX(pin!$D$48:$T$84,MATCH(ΥΠΟΛΟΓΙΣΜΟΙ!BE29,pin!$B$48:$B$84,0),MATCH(ΥΠΟΛΟΓΙΣΜΟΙ!AW29,pin!$D$47:$T$47,0))-INDEX(pin!$D$48:$T$84,MATCH(ΥΠΟΛΟΓΙΣΜΟΙ!BF29,pin!$B$48:$B$84,0),MATCH(ΥΠΟΛΟΓΙΣΜΟΙ!AW29,pin!$D$47:$T$47,0)))</f>
        <v>1</v>
      </c>
      <c r="BH29" s="188">
        <f>INDEX(pin!$D$48:$T$84,MATCH(ΥΠΟΛΟΓΙΣΜΟΙ!BE29,pin!$B$48:$B$84,0),MATCH(ΥΠΟΛΟΓΙΣΜΟΙ!AX29,pin!$D$47:$T$47,0))+0.4*(BE29-AF29)*(INDEX(pin!$D$48:$T$84,MATCH(ΥΠΟΛΟΓΙΣΜΟΙ!BE29,pin!$B$48:$B$84,0),MATCH(ΥΠΟΛΟΓΙΣΜΟΙ!AX29,pin!$D$47:$T$47,0))-INDEX(pin!$D$48:$T$84,MATCH(ΥΠΟΛΟΓΙΣΜΟΙ!BF29,pin!$B$48:$B$84,0),MATCH(ΥΠΟΛΟΓΙΣΜΟΙ!AX29,pin!$D$47:$T$47,0)))</f>
        <v>1</v>
      </c>
      <c r="BI29" s="187">
        <f>INDEX(pin!$X$48:$AN$84,MATCH(ΥΠΟΛΟΓΙΣΜΟΙ!BE29,pin!$V$48:$V$84,0),MATCH(ΥΠΟΛΟΓΙΣΜΟΙ!AW29,pin!$X$47:$AN$47,0))+0.4*(BE29-AF29)*(INDEX(pin!$X$48:$AN$84,MATCH(ΥΠΟΛΟΓΙΣΜΟΙ!BE29,pin!$V$48:$V$84,0),MATCH(ΥΠΟΛΟΓΙΣΜΟΙ!AW29,pin!$X$47:$AN$47,0))-INDEX(pin!$X$48:$AN$84,MATCH(ΥΠΟΛΟΓΙΣΜΟΙ!BF29,pin!$V$48:$V$84,0),MATCH(ΥΠΟΛΟΓΙΣΜΟΙ!AW29,pin!$X$47:$AN$47,0)))</f>
        <v>1</v>
      </c>
      <c r="BJ29" s="203">
        <f>INDEX(pin!$X$48:$AN$84,MATCH(ΥΠΟΛΟΓΙΣΜΟΙ!BE29,pin!$V$48:$V$84,0),MATCH(ΥΠΟΛΟΓΙΣΜΟΙ!AX29,pin!$X$47:$AN$47,0))+0.4*(BE29-AF29)*(INDEX(pin!$X$48:$AN$84,MATCH(ΥΠΟΛΟΓΙΣΜΟΙ!BE29,pin!$V$48:$V$84,0),MATCH(ΥΠΟΛΟΓΙΣΜΟΙ!AX29,pin!$X$47:$AN$47,0))-INDEX(pin!$X$48:$AN$84,MATCH(ΥΠΟΛΟΓΙΣΜΟΙ!BF29,pin!$V$48:$V$84,0),MATCH(ΥΠΟΛΟΓΙΣΜΟΙ!AX29,pin!$X$47:$AN$47,0)))</f>
        <v>1</v>
      </c>
      <c r="BK29" s="187">
        <f t="shared" si="24"/>
        <v>0</v>
      </c>
      <c r="BL29" s="188">
        <f t="shared" si="25"/>
        <v>0</v>
      </c>
      <c r="BM29" s="188">
        <f>INDEX(pin!$X$48:$AN$84,MATCH(ΥΠΟΛΟΓΙΣΜΟΙ!BK29,pin!$V$48:$V$84,0),MATCH(ΥΠΟΛΟΓΙΣΜΟΙ!AW29,pin!$X$47:$AN$47,0))+0.4*(BK29-AG29)*(INDEX(pin!$X$48:$AN$84,MATCH(ΥΠΟΛΟΓΙΣΜΟΙ!BK29,pin!$V$48:$V$84,0),MATCH(ΥΠΟΛΟΓΙΣΜΟΙ!AW29,pin!$X$47:$AN$47,0))-INDEX(pin!$X$48:$AN$84,MATCH(ΥΠΟΛΟΓΙΣΜΟΙ!BL29,pin!$V$48:$V$84,0),MATCH(ΥΠΟΛΟΓΙΣΜΟΙ!AW29,pin!$X$47:$AN$47,0)))</f>
        <v>1</v>
      </c>
      <c r="BN29" s="203">
        <f>INDEX(pin!$X$48:$AN$84,MATCH(ΥΠΟΛΟΓΙΣΜΟΙ!BK29,pin!$V$48:$V$84,0),MATCH(ΥΠΟΛΟΓΙΣΜΟΙ!AX29,pin!$X$47:$AN$47,0))+0.4*(BK29-AG29)*(INDEX(pin!$X$48:$AN$84,MATCH(ΥΠΟΛΟΓΙΣΜΟΙ!BK29,pin!$V$48:$V$84,0),MATCH(ΥΠΟΛΟΓΙΣΜΟΙ!AX29,pin!$X$47:$AN$47,0))-INDEX(pin!$X$48:$AN$84,MATCH(ΥΠΟΛΟΓΙΣΜΟΙ!BL29,pin!$V$48:$V$84,0),MATCH(ΥΠΟΛΟΓΙΣΜΟΙ!AX29,pin!$X$47:$AN$47,0)))</f>
        <v>1</v>
      </c>
      <c r="BO29" s="187">
        <f t="shared" si="26"/>
        <v>0</v>
      </c>
      <c r="BP29" s="188">
        <f t="shared" si="27"/>
        <v>0</v>
      </c>
      <c r="BQ29" s="188">
        <f>INDEX(pin!$D$114:$T$132,MATCH(ΥΠΟΛΟΓΙΣΜΟΙ!BO29,pin!$B$114:$B$132,0),MATCH(ΥΠΟΛΟΓΙΣΜΟΙ!AW29,pin!$D$113:$T$113,0))+0.2*(BO29-AH29)*(INDEX(pin!$D$114:$T$132,MATCH(ΥΠΟΛΟΓΙΣΜΟΙ!BO29,pin!$B$114:$B$132,0),MATCH(ΥΠΟΛΟΓΙΣΜΟΙ!AW29,pin!$D$113:$T$113,0))-INDEX(pin!$D$114:$T$132,MATCH(ΥΠΟΛΟΓΙΣΜΟΙ!BP29,pin!$B$114:$B$132,0),MATCH(ΥΠΟΛΟΓΙΣΜΟΙ!AW29,pin!$D$113:$T$113,0)))</f>
        <v>1</v>
      </c>
      <c r="BR29" s="188">
        <f>INDEX(pin!$D$114:$T$132,MATCH(ΥΠΟΛΟΓΙΣΜΟΙ!BO29,pin!$B$114:$B$132,0),MATCH(ΥΠΟΛΟΓΙΣΜΟΙ!AX29,pin!$D$113:$T$113,0))+0.2*(BO29-AH29)*(INDEX(pin!$D$114:$T$132,MATCH(ΥΠΟΛΟΓΙΣΜΟΙ!BO29,pin!$B$114:$B$132,0),MATCH(ΥΠΟΛΟΓΙΣΜΟΙ!AX29,pin!$D$113:$T$113,0))-INDEX(pin!$D$114:$T$132,MATCH(ΥΠΟΛΟΓΙΣΜΟΙ!BP29,pin!$B$114:$B$132,0),MATCH(ΥΠΟΛΟΓΙΣΜΟΙ!AX29,pin!$D$113:$T$113,0)))</f>
        <v>1</v>
      </c>
      <c r="BS29" s="187">
        <f>INDEX(pin!$X$114:$AN$132,MATCH(ΥΠΟΛΟΓΙΣΜΟΙ!BO29,pin!$V$114:$V$132,0),MATCH(ΥΠΟΛΟΓΙΣΜΟΙ!AW29,pin!$X$113:$AN$113,0))+0.2*(BO29-AH29)*(INDEX(pin!$X$114:$AN$132,MATCH(ΥΠΟΛΟΓΙΣΜΟΙ!BO29,pin!$V$114:$V$132,0),MATCH(ΥΠΟΛΟΓΙΣΜΟΙ!AW29,pin!$X$113:$AN$113,0))-INDEX(pin!$X$114:$AN$132,MATCH(ΥΠΟΛΟΓΙΣΜΟΙ!BP29,pin!$V$114:$V$132,0),MATCH(ΥΠΟΛΟΓΙΣΜΟΙ!AW29,pin!$X$113:$AN$113,0)))</f>
        <v>1</v>
      </c>
      <c r="BT29" s="203">
        <f>INDEX(pin!$X$114:$AN$132,MATCH(ΥΠΟΛΟΓΙΣΜΟΙ!BO29,pin!$V$114:$V$132,0),MATCH(ΥΠΟΛΟΓΙΣΜΟΙ!AX29,pin!$X$113:$AN$113,0))+0.2*(BO29-AH29)*(INDEX(pin!$X$114:$AN$132,MATCH(ΥΠΟΛΟΓΙΣΜΟΙ!BO29,pin!$V$114:$V$132,0),MATCH(ΥΠΟΛΟΓΙΣΜΟΙ!AX29,pin!$X$113:$AN$113,0))-INDEX(pin!$X$114:$AN$132,MATCH(ΥΠΟΛΟΓΙΣΜΟΙ!BP29,pin!$V$114:$V$132,0),MATCH(ΥΠΟΛΟΓΙΣΜΟΙ!AX29,pin!$X$113:$AN$113,0)))</f>
        <v>1</v>
      </c>
      <c r="BU29" s="187">
        <f t="shared" si="28"/>
        <v>0</v>
      </c>
      <c r="BV29" s="188">
        <f t="shared" si="29"/>
        <v>0</v>
      </c>
      <c r="BW29" s="188">
        <f>INDEX(pin!$D$90:$T$108,MATCH(ΥΠΟΛΟΓΙΣΜΟΙ!BU29,pin!$B$90:$B$108,0),MATCH(ΥΠΟΛΟΓΙΣΜΟΙ!AW29,pin!$D$89:$T$89,0))+0.2*(BU29-AI29)*(INDEX(pin!$D$90:$T$108,MATCH(ΥΠΟΛΟΓΙΣΜΟΙ!BU29,pin!$B$90:$B$108,0),MATCH(ΥΠΟΛΟΓΙΣΜΟΙ!AW29,pin!$D$89:$T$89,0))-INDEX(pin!$D$90:$T$108,MATCH(ΥΠΟΛΟΓΙΣΜΟΙ!BV29,pin!$B$90:$B$108,0),MATCH(ΥΠΟΛΟΓΙΣΜΟΙ!AW29,pin!$D$89:$T$89,0)))</f>
        <v>1</v>
      </c>
      <c r="BX29" s="203">
        <f>INDEX(pin!$D$90:$T$108,MATCH(ΥΠΟΛΟΓΙΣΜΟΙ!BU29,pin!$B$90:$B$108,0),MATCH(ΥΠΟΛΟΓΙΣΜΟΙ!AX29,pin!$D$89:$T$89,0))+0.2*(BU29-AI29)*(INDEX(pin!$D$90:$T$108,MATCH(ΥΠΟΛΟΓΙΣΜΟΙ!BU29,pin!$B$90:$B$108,0),MATCH(ΥΠΟΛΟΓΙΣΜΟΙ!AX29,pin!$D$89:$T$89,0))-INDEX(pin!$D$90:$T$108,MATCH(ΥΠΟΛΟΓΙΣΜΟΙ!BV29,pin!$B$90:$B$108,0),MATCH(ΥΠΟΛΟΓΙΣΜΟΙ!AX29,pin!$D$89:$T$89,0)))</f>
        <v>1</v>
      </c>
      <c r="BY29" s="188">
        <f>INDEX(pin!$X$90:$AN$108,MATCH(ΥΠΟΛΟΓΙΣΜΟΙ!BU29,pin!$V$90:$V$108,0),MATCH(ΥΠΟΛΟΓΙΣΜΟΙ!AW29,pin!$X$89:$AN$89,0))+0.2*(BU29-AI29)*(INDEX(pin!$X$90:$AN$108,MATCH(ΥΠΟΛΟΓΙΣΜΟΙ!BU29,pin!$V$90:$V$108,0),MATCH(ΥΠΟΛΟΓΙΣΜΟΙ!AW29,pin!$X$89:$AN$89,0))-INDEX(pin!$X$90:$AN$108,MATCH(ΥΠΟΛΟΓΙΣΜΟΙ!BV29,pin!$V$90:$V$108,0),MATCH(ΥΠΟΛΟΓΙΣΜΟΙ!AW29,pin!$X$89:$AN$89,0)))</f>
        <v>1</v>
      </c>
      <c r="BZ29" s="203">
        <f>INDEX(pin!$X$90:$AN$108,MATCH(ΥΠΟΛΟΓΙΣΜΟΙ!BU29,pin!$V$90:$V$108,0),MATCH(ΥΠΟΛΟΓΙΣΜΟΙ!AX29,pin!$X$89:$AN$89,0))+0.2*(BU29-AI29)*(INDEX(pin!$X$90:$AN$108,MATCH(ΥΠΟΛΟΓΙΣΜΟΙ!BU29,pin!$V$90:$V$108,0),MATCH(ΥΠΟΛΟΓΙΣΜΟΙ!AX29,pin!$X$89:$AN$89,0))-INDEX(pin!$X$90:$AN$108,MATCH(ΥΠΟΛΟΓΙΣΜΟΙ!BV29,pin!$V$90:$V$108,0),MATCH(ΥΠΟΛΟΓΙΣΜΟΙ!AX29,pin!$X$89:$AN$89,0)))</f>
        <v>1</v>
      </c>
      <c r="CA29" s="191"/>
    </row>
    <row r="30" spans="1:119">
      <c r="A30" s="462">
        <v>14</v>
      </c>
      <c r="B30" s="118"/>
      <c r="C30" s="116"/>
      <c r="D30" s="116"/>
      <c r="E30" s="47" t="str">
        <f t="shared" ref="E30" si="31">IF(C30=0,"-",IF(C30&gt;0,C30*D30,-1*C30*D30))</f>
        <v>-</v>
      </c>
      <c r="F30" s="116"/>
      <c r="G30" s="239" t="str">
        <f t="shared" ref="G30" si="32">IFERROR(E30-F30,"-")</f>
        <v>-</v>
      </c>
      <c r="H30" s="240"/>
      <c r="I30" s="116"/>
      <c r="J30" s="116"/>
      <c r="K30" s="236" t="str">
        <f t="shared" ref="K30" si="33">IF(C30&gt;0,IFERROR(((I30*(G30-H30*E30*0.01)+J30*H30*E30*0.01)/G30)+IF(N30="Πόρτα",0,IF($N$9="ΝΑΙ",0.2,0)),"-"),IF($N$8="κτιριακη μοναδα",IFERROR(0.5*((I30*(G30-H30*E30*0.01)+J30*H30*E30*0.01)/G30+IF(N30="Πόρτα",0,IF($N$9="ΝΑΙ",0.2,0))),"-"),IFERROR((I30*(G30-H30*E30*0.01)+J30*H30*E30*0.01)/G30+IF(N30="Πόρτα",0,IF($N$9="ΝΑΙ",0.2,0)),"-")))</f>
        <v>-</v>
      </c>
      <c r="L30" s="235"/>
      <c r="M30" s="235"/>
      <c r="N30" s="529" t="s">
        <v>671</v>
      </c>
      <c r="O30" s="46">
        <f t="shared" ref="O30" si="34">IF(L30=-1,0,IF(C30&gt;=0,IF(K30&gt;0.6,BA30+0.0444*(L30-AW30)*(BB30-BA30),1),0))</f>
        <v>1</v>
      </c>
      <c r="P30" s="120">
        <f t="shared" ref="P30" si="35">IF(L30=-1,0,IF(C30&gt;=0,IF(K30&gt;0.6,BC30+0.0444*(L30-AW30)*(BD30-BC30),1),0))</f>
        <v>1</v>
      </c>
      <c r="Q30" s="46">
        <f t="shared" ref="Q30" si="36">IF(L30=-1,0,IF(C30&gt;=0,IF(K30&gt;0.6,BG30+0.0444*(L30-AW30)*(BH30-BG30),0.9),0))</f>
        <v>1</v>
      </c>
      <c r="R30" s="120">
        <f t="shared" ref="R30" si="37">IF(L30=-1,0,IF(C30&gt;=0,IF(K30&gt;0.6,IF(AG30=0,BI30+0.0444*(L30-AW30)*(BJ30-BI30),BM30+0.0444*(L30-AW30)*(BN30-BM30)),0.9),0))</f>
        <v>1</v>
      </c>
      <c r="S30" s="46">
        <f t="shared" ref="S30" si="38">IF(L30=-1,0,IF(C30&gt;=0,IF(K30&gt;0.6,AJ30*AL30,1),0))</f>
        <v>1</v>
      </c>
      <c r="T30" s="120">
        <f t="shared" ref="T30" si="39">IF(L30=-1,0,IF(C30&gt;=0,IF(K30&gt;0.6,AK30*AM30,1),0))</f>
        <v>1</v>
      </c>
      <c r="U30" s="461"/>
      <c r="V30" s="122"/>
      <c r="W30" s="116"/>
      <c r="X30" s="117"/>
      <c r="Y30" s="163"/>
      <c r="Z30" s="122"/>
      <c r="AA30" s="116"/>
      <c r="AB30" s="116"/>
      <c r="AC30" s="461"/>
      <c r="AD30" s="117"/>
      <c r="AE30" s="204">
        <f t="shared" ref="AE30" si="40">IFERROR(DEGREES(ATAN(V30/U30)),0)</f>
        <v>0</v>
      </c>
      <c r="AF30" s="180">
        <f t="shared" ref="AF30" si="41">IFERROR(DEGREES(ATAN(W30/X30)),0)</f>
        <v>0</v>
      </c>
      <c r="AG30" s="180">
        <f t="shared" ref="AG30" si="42">IF(Y30&gt;0,IF((Z30-X30)&gt;0,DEGREES(ATAN(Y30/(Z30-X30))),90),0)</f>
        <v>0</v>
      </c>
      <c r="AH30" s="180">
        <f t="shared" ref="AH30" si="43">IFERROR(DEGREES(ATAN(AA30/AB30)),0)</f>
        <v>0</v>
      </c>
      <c r="AI30" s="180">
        <f t="shared" ref="AI30" si="44">IFERROR(DEGREES(ATAN(AC30/AD30)),0)</f>
        <v>0</v>
      </c>
      <c r="AJ30" s="465">
        <f t="shared" ref="AJ30" si="45">BQ30+0.0444*(L30-AW30)*(BR30-BQ30)</f>
        <v>1</v>
      </c>
      <c r="AK30" s="465">
        <f t="shared" ref="AK30" si="46">BS30+0.0444*(L30-AW30)*(BT30-BS30)</f>
        <v>1</v>
      </c>
      <c r="AL30" s="465">
        <f t="shared" ref="AL30" si="47">BW30+0.0444*(L30-AW30)*(BX30-BW30)</f>
        <v>1</v>
      </c>
      <c r="AM30" s="465">
        <f t="shared" ref="AM30" si="48">BY30+0.0444*(L30-AW30)*(BZ30-BY30)</f>
        <v>1</v>
      </c>
      <c r="AN30" s="467">
        <f t="shared" ref="AN30" si="49">IF(L30=-1,"-",MROUND(L30, 22.5))</f>
        <v>0</v>
      </c>
      <c r="AO30" s="464"/>
      <c r="AP30" s="464"/>
      <c r="AQ30" s="464"/>
      <c r="AR30" s="464"/>
      <c r="AS30" s="464"/>
      <c r="AT30" s="464"/>
      <c r="AU30" s="464"/>
      <c r="AV30" s="464" t="s">
        <v>256</v>
      </c>
      <c r="AW30" s="464">
        <f t="shared" ref="AW30" si="50">IF(AN30-L30&lt;=0,AN30,AN30-22.5)</f>
        <v>0</v>
      </c>
      <c r="AX30" s="466">
        <f t="shared" ref="AX30" si="51">IF(AN30-L30=0,AN30,AW30+22.5)</f>
        <v>0</v>
      </c>
      <c r="AY30" s="467">
        <f t="shared" ref="AY30" si="52">IF(MROUND(AE30,2.5)-AE30&lt;=0,MROUND(AE30,2.5),MROUND(AE30,2.5)-2.5)</f>
        <v>0</v>
      </c>
      <c r="AZ30" s="464">
        <f t="shared" ref="AZ30" si="53">IF(MROUND(AE30,2.5)-AE30=0,MROUND(AE30,2.5),AY30+2.5)</f>
        <v>0</v>
      </c>
      <c r="BA30" s="464">
        <f>INDEX(pin!$D$6:$T$42,MATCH(ΥΠΟΛΟΓΙΣΜΟΙ!AY30,pin!$B$6:$B$42,0),MATCH(ΥΠΟΛΟΓΙΣΜΟΙ!AW30,pin!$D$5:$T$5,0))+0.4*(AY30-AE30)*(INDEX(pin!$D$6:$T$42,MATCH(ΥΠΟΛΟΓΙΣΜΟΙ!AY30,pin!$B$6:$B$42,0),MATCH(ΥΠΟΛΟΓΙΣΜΟΙ!AW30,pin!$D$5:$T$5,0))-INDEX(pin!$D$6:$T$42,MATCH(ΥΠΟΛΟΓΙΣΜΟΙ!AZ30,pin!$B$6:$B$42,0),MATCH(ΥΠΟΛΟΓΙΣΜΟΙ!AW30,pin!$D$5:$T$5,0)))</f>
        <v>1</v>
      </c>
      <c r="BB30" s="466">
        <f>INDEX(pin!$D$6:$T$42,MATCH(ΥΠΟΛΟΓΙΣΜΟΙ!AY30,pin!$B$6:$B$42,0),MATCH(ΥΠΟΛΟΓΙΣΜΟΙ!AX30,pin!$D$5:$T$5,0))+0.4*(AY30-AE30)*(INDEX(pin!$D$6:$T$42,MATCH(ΥΠΟΛΟΓΙΣΜΟΙ!AY30,pin!$B$6:$B$42,0),MATCH(ΥΠΟΛΟΓΙΣΜΟΙ!AX30,pin!$D$5:$T$5,0))-INDEX(pin!$D$6:$T$42,MATCH(ΥΠΟΛΟΓΙΣΜΟΙ!AZ30,pin!$B$6:$B$42,0),MATCH(ΥΠΟΛΟΓΙΣΜΟΙ!AX30,pin!$D$5:$T$5,0)))</f>
        <v>1</v>
      </c>
      <c r="BC30" s="464">
        <f>INDEX(pin!$X$6:$AN$42,MATCH(ΥΠΟΛΟΓΙΣΜΟΙ!AY30,pin!$V$6:$V$42,0),MATCH(ΥΠΟΛΟΓΙΣΜΟΙ!AW30,pin!$X$5:$AN$5,0))+0.4*(AY30-AE30)*(INDEX(pin!$X$6:$AN$42,MATCH(ΥΠΟΛΟΓΙΣΜΟΙ!AY30,pin!$V$6:$V$42,0),MATCH(ΥΠΟΛΟΓΙΣΜΟΙ!AW30,pin!$X$5:$AN$5,0))-INDEX(pin!$X$6:$AN$42,MATCH(ΥΠΟΛΟΓΙΣΜΟΙ!AZ30,pin!$V$6:$V$42,0),MATCH(ΥΠΟΛΟΓΙΣΜΟΙ!AW30,pin!$X$5:$AN$5,0)))</f>
        <v>1</v>
      </c>
      <c r="BD30" s="464">
        <f>INDEX(pin!$X$6:$AN$42,MATCH(ΥΠΟΛΟΓΙΣΜΟΙ!AY30,pin!$V$6:$V$42,0),MATCH(ΥΠΟΛΟΓΙΣΜΟΙ!AX30,pin!$X$5:$AN$5,0))+0.4*(AY30-AE30)*(INDEX(pin!$X$6:$AN$42,MATCH(ΥΠΟΛΟΓΙΣΜΟΙ!AY30,pin!$V$6:$V$42,0),MATCH(ΥΠΟΛΟΓΙΣΜΟΙ!AX30,pin!$X$5:$AN$5,0))-INDEX(pin!$X$6:$AN$42,MATCH(ΥΠΟΛΟΓΙΣΜΟΙ!AZ30,pin!$V$6:$V$42,0),MATCH(ΥΠΟΛΟΓΙΣΜΟΙ!AX30,pin!$X$5:$AN$5,0)))</f>
        <v>1</v>
      </c>
      <c r="BE30" s="467">
        <f t="shared" ref="BE30" si="54">IF(MROUND(AF30,2.5)-AF30&lt;=0,MROUND(AF30,2.5),MROUND(AF30,2.5)-2.5)</f>
        <v>0</v>
      </c>
      <c r="BF30" s="464">
        <f t="shared" ref="BF30" si="55">IF(MROUND(AF30,2.5)-AF30=0,MROUND(AF30,2.5),BE30+2.5)</f>
        <v>0</v>
      </c>
      <c r="BG30" s="464">
        <f>INDEX(pin!$D$48:$T$84,MATCH(ΥΠΟΛΟΓΙΣΜΟΙ!BE30,pin!$B$48:$B$84,0),MATCH(ΥΠΟΛΟΓΙΣΜΟΙ!AW30,pin!$D$47:$T$47,0))+0.4*(BE30-AF30)*(INDEX(pin!$D$48:$T$84,MATCH(ΥΠΟΛΟΓΙΣΜΟΙ!BE30,pin!$B$48:$B$84,0),MATCH(ΥΠΟΛΟΓΙΣΜΟΙ!AW30,pin!$D$47:$T$47,0))-INDEX(pin!$D$48:$T$84,MATCH(ΥΠΟΛΟΓΙΣΜΟΙ!BF30,pin!$B$48:$B$84,0),MATCH(ΥΠΟΛΟΓΙΣΜΟΙ!AW30,pin!$D$47:$T$47,0)))</f>
        <v>1</v>
      </c>
      <c r="BH30" s="464">
        <f>INDEX(pin!$D$48:$T$84,MATCH(ΥΠΟΛΟΓΙΣΜΟΙ!BE30,pin!$B$48:$B$84,0),MATCH(ΥΠΟΛΟΓΙΣΜΟΙ!AX30,pin!$D$47:$T$47,0))+0.4*(BE30-AF30)*(INDEX(pin!$D$48:$T$84,MATCH(ΥΠΟΛΟΓΙΣΜΟΙ!BE30,pin!$B$48:$B$84,0),MATCH(ΥΠΟΛΟΓΙΣΜΟΙ!AX30,pin!$D$47:$T$47,0))-INDEX(pin!$D$48:$T$84,MATCH(ΥΠΟΛΟΓΙΣΜΟΙ!BF30,pin!$B$48:$B$84,0),MATCH(ΥΠΟΛΟΓΙΣΜΟΙ!AX30,pin!$D$47:$T$47,0)))</f>
        <v>1</v>
      </c>
      <c r="BI30" s="467">
        <f>INDEX(pin!$X$48:$AN$84,MATCH(ΥΠΟΛΟΓΙΣΜΟΙ!BE30,pin!$V$48:$V$84,0),MATCH(ΥΠΟΛΟΓΙΣΜΟΙ!AW30,pin!$X$47:$AN$47,0))+0.4*(BE30-AF30)*(INDEX(pin!$X$48:$AN$84,MATCH(ΥΠΟΛΟΓΙΣΜΟΙ!BE30,pin!$V$48:$V$84,0),MATCH(ΥΠΟΛΟΓΙΣΜΟΙ!AW30,pin!$X$47:$AN$47,0))-INDEX(pin!$X$48:$AN$84,MATCH(ΥΠΟΛΟΓΙΣΜΟΙ!BF30,pin!$V$48:$V$84,0),MATCH(ΥΠΟΛΟΓΙΣΜΟΙ!AW30,pin!$X$47:$AN$47,0)))</f>
        <v>1</v>
      </c>
      <c r="BJ30" s="466">
        <f>INDEX(pin!$X$48:$AN$84,MATCH(ΥΠΟΛΟΓΙΣΜΟΙ!BE30,pin!$V$48:$V$84,0),MATCH(ΥΠΟΛΟΓΙΣΜΟΙ!AX30,pin!$X$47:$AN$47,0))+0.4*(BE30-AF30)*(INDEX(pin!$X$48:$AN$84,MATCH(ΥΠΟΛΟΓΙΣΜΟΙ!BE30,pin!$V$48:$V$84,0),MATCH(ΥΠΟΛΟΓΙΣΜΟΙ!AX30,pin!$X$47:$AN$47,0))-INDEX(pin!$X$48:$AN$84,MATCH(ΥΠΟΛΟΓΙΣΜΟΙ!BF30,pin!$V$48:$V$84,0),MATCH(ΥΠΟΛΟΓΙΣΜΟΙ!AX30,pin!$X$47:$AN$47,0)))</f>
        <v>1</v>
      </c>
      <c r="BK30" s="467">
        <f t="shared" ref="BK30" si="56">IF(MROUND(AG30,2.5)-AG30&lt;=0,MROUND(AG30,2.5),MROUND(AG30,2.5)-2.5)</f>
        <v>0</v>
      </c>
      <c r="BL30" s="464">
        <f t="shared" ref="BL30" si="57">IF(MROUND(AG30,2.5)-AG30=0,MROUND(AG30,2.5),BK30+2.5)</f>
        <v>0</v>
      </c>
      <c r="BM30" s="464">
        <f>INDEX(pin!$X$48:$AN$84,MATCH(ΥΠΟΛΟΓΙΣΜΟΙ!BK30,pin!$V$48:$V$84,0),MATCH(ΥΠΟΛΟΓΙΣΜΟΙ!AW30,pin!$X$47:$AN$47,0))+0.4*(BK30-AG30)*(INDEX(pin!$X$48:$AN$84,MATCH(ΥΠΟΛΟΓΙΣΜΟΙ!BK30,pin!$V$48:$V$84,0),MATCH(ΥΠΟΛΟΓΙΣΜΟΙ!AW30,pin!$X$47:$AN$47,0))-INDEX(pin!$X$48:$AN$84,MATCH(ΥΠΟΛΟΓΙΣΜΟΙ!BL30,pin!$V$48:$V$84,0),MATCH(ΥΠΟΛΟΓΙΣΜΟΙ!AW30,pin!$X$47:$AN$47,0)))</f>
        <v>1</v>
      </c>
      <c r="BN30" s="466">
        <f>INDEX(pin!$X$48:$AN$84,MATCH(ΥΠΟΛΟΓΙΣΜΟΙ!BK30,pin!$V$48:$V$84,0),MATCH(ΥΠΟΛΟΓΙΣΜΟΙ!AX30,pin!$X$47:$AN$47,0))+0.4*(BK30-AG30)*(INDEX(pin!$X$48:$AN$84,MATCH(ΥΠΟΛΟΓΙΣΜΟΙ!BK30,pin!$V$48:$V$84,0),MATCH(ΥΠΟΛΟΓΙΣΜΟΙ!AX30,pin!$X$47:$AN$47,0))-INDEX(pin!$X$48:$AN$84,MATCH(ΥΠΟΛΟΓΙΣΜΟΙ!BL30,pin!$V$48:$V$84,0),MATCH(ΥΠΟΛΟΓΙΣΜΟΙ!AX30,pin!$X$47:$AN$47,0)))</f>
        <v>1</v>
      </c>
      <c r="BO30" s="467">
        <f t="shared" ref="BO30" si="58">IF(MROUND(AH30,5)-AH30&lt;=0,MROUND(AH30,5),MROUND(AH30,5)-5)</f>
        <v>0</v>
      </c>
      <c r="BP30" s="464">
        <f t="shared" ref="BP30" si="59">IF(MROUND(AH30,5)-AH30=0,MROUND(AH30,5),BO30+5)</f>
        <v>0</v>
      </c>
      <c r="BQ30" s="464">
        <f>INDEX(pin!$D$114:$T$132,MATCH(ΥΠΟΛΟΓΙΣΜΟΙ!BO30,pin!$B$114:$B$132,0),MATCH(ΥΠΟΛΟΓΙΣΜΟΙ!AW30,pin!$D$113:$T$113,0))+0.2*(BO30-AH30)*(INDEX(pin!$D$114:$T$132,MATCH(ΥΠΟΛΟΓΙΣΜΟΙ!BO30,pin!$B$114:$B$132,0),MATCH(ΥΠΟΛΟΓΙΣΜΟΙ!AW30,pin!$D$113:$T$113,0))-INDEX(pin!$D$114:$T$132,MATCH(ΥΠΟΛΟΓΙΣΜΟΙ!BP30,pin!$B$114:$B$132,0),MATCH(ΥΠΟΛΟΓΙΣΜΟΙ!AW30,pin!$D$113:$T$113,0)))</f>
        <v>1</v>
      </c>
      <c r="BR30" s="464">
        <f>INDEX(pin!$D$114:$T$132,MATCH(ΥΠΟΛΟΓΙΣΜΟΙ!BO30,pin!$B$114:$B$132,0),MATCH(ΥΠΟΛΟΓΙΣΜΟΙ!AX30,pin!$D$113:$T$113,0))+0.2*(BO30-AH30)*(INDEX(pin!$D$114:$T$132,MATCH(ΥΠΟΛΟΓΙΣΜΟΙ!BO30,pin!$B$114:$B$132,0),MATCH(ΥΠΟΛΟΓΙΣΜΟΙ!AX30,pin!$D$113:$T$113,0))-INDEX(pin!$D$114:$T$132,MATCH(ΥΠΟΛΟΓΙΣΜΟΙ!BP30,pin!$B$114:$B$132,0),MATCH(ΥΠΟΛΟΓΙΣΜΟΙ!AX30,pin!$D$113:$T$113,0)))</f>
        <v>1</v>
      </c>
      <c r="BS30" s="467">
        <f>INDEX(pin!$X$114:$AN$132,MATCH(ΥΠΟΛΟΓΙΣΜΟΙ!BO30,pin!$V$114:$V$132,0),MATCH(ΥΠΟΛΟΓΙΣΜΟΙ!AW30,pin!$X$113:$AN$113,0))+0.2*(BO30-AH30)*(INDEX(pin!$X$114:$AN$132,MATCH(ΥΠΟΛΟΓΙΣΜΟΙ!BO30,pin!$V$114:$V$132,0),MATCH(ΥΠΟΛΟΓΙΣΜΟΙ!AW30,pin!$X$113:$AN$113,0))-INDEX(pin!$X$114:$AN$132,MATCH(ΥΠΟΛΟΓΙΣΜΟΙ!BP30,pin!$V$114:$V$132,0),MATCH(ΥΠΟΛΟΓΙΣΜΟΙ!AW30,pin!$X$113:$AN$113,0)))</f>
        <v>1</v>
      </c>
      <c r="BT30" s="466">
        <f>INDEX(pin!$X$114:$AN$132,MATCH(ΥΠΟΛΟΓΙΣΜΟΙ!BO30,pin!$V$114:$V$132,0),MATCH(ΥΠΟΛΟΓΙΣΜΟΙ!AX30,pin!$X$113:$AN$113,0))+0.2*(BO30-AH30)*(INDEX(pin!$X$114:$AN$132,MATCH(ΥΠΟΛΟΓΙΣΜΟΙ!BO30,pin!$V$114:$V$132,0),MATCH(ΥΠΟΛΟΓΙΣΜΟΙ!AX30,pin!$X$113:$AN$113,0))-INDEX(pin!$X$114:$AN$132,MATCH(ΥΠΟΛΟΓΙΣΜΟΙ!BP30,pin!$V$114:$V$132,0),MATCH(ΥΠΟΛΟΓΙΣΜΟΙ!AX30,pin!$X$113:$AN$113,0)))</f>
        <v>1</v>
      </c>
      <c r="BU30" s="467">
        <f t="shared" ref="BU30" si="60">IF(MROUND(AI30,5)-AI30&lt;=0,MROUND(AI30,5),MROUND(AI30,5)-5)</f>
        <v>0</v>
      </c>
      <c r="BV30" s="464">
        <f t="shared" ref="BV30" si="61">IF(MROUND(AI30,5)-AI30=0,MROUND(AI30,5),BU30+5)</f>
        <v>0</v>
      </c>
      <c r="BW30" s="464">
        <f>INDEX(pin!$D$90:$T$108,MATCH(ΥΠΟΛΟΓΙΣΜΟΙ!BU30,pin!$B$90:$B$108,0),MATCH(ΥΠΟΛΟΓΙΣΜΟΙ!AW30,pin!$D$89:$T$89,0))+0.2*(BU30-AI30)*(INDEX(pin!$D$90:$T$108,MATCH(ΥΠΟΛΟΓΙΣΜΟΙ!BU30,pin!$B$90:$B$108,0),MATCH(ΥΠΟΛΟΓΙΣΜΟΙ!AW30,pin!$D$89:$T$89,0))-INDEX(pin!$D$90:$T$108,MATCH(ΥΠΟΛΟΓΙΣΜΟΙ!BV30,pin!$B$90:$B$108,0),MATCH(ΥΠΟΛΟΓΙΣΜΟΙ!AW30,pin!$D$89:$T$89,0)))</f>
        <v>1</v>
      </c>
      <c r="BX30" s="466">
        <f>INDEX(pin!$D$90:$T$108,MATCH(ΥΠΟΛΟΓΙΣΜΟΙ!BU30,pin!$B$90:$B$108,0),MATCH(ΥΠΟΛΟΓΙΣΜΟΙ!AX30,pin!$D$89:$T$89,0))+0.2*(BU30-AI30)*(INDEX(pin!$D$90:$T$108,MATCH(ΥΠΟΛΟΓΙΣΜΟΙ!BU30,pin!$B$90:$B$108,0),MATCH(ΥΠΟΛΟΓΙΣΜΟΙ!AX30,pin!$D$89:$T$89,0))-INDEX(pin!$D$90:$T$108,MATCH(ΥΠΟΛΟΓΙΣΜΟΙ!BV30,pin!$B$90:$B$108,0),MATCH(ΥΠΟΛΟΓΙΣΜΟΙ!AX30,pin!$D$89:$T$89,0)))</f>
        <v>1</v>
      </c>
      <c r="BY30" s="464">
        <f>INDEX(pin!$X$90:$AN$108,MATCH(ΥΠΟΛΟΓΙΣΜΟΙ!BU30,pin!$V$90:$V$108,0),MATCH(ΥΠΟΛΟΓΙΣΜΟΙ!AW30,pin!$X$89:$AN$89,0))+0.2*(BU30-AI30)*(INDEX(pin!$X$90:$AN$108,MATCH(ΥΠΟΛΟΓΙΣΜΟΙ!BU30,pin!$V$90:$V$108,0),MATCH(ΥΠΟΛΟΓΙΣΜΟΙ!AW30,pin!$X$89:$AN$89,0))-INDEX(pin!$X$90:$AN$108,MATCH(ΥΠΟΛΟΓΙΣΜΟΙ!BV30,pin!$V$90:$V$108,0),MATCH(ΥΠΟΛΟΓΙΣΜΟΙ!AW30,pin!$X$89:$AN$89,0)))</f>
        <v>1</v>
      </c>
      <c r="BZ30" s="466">
        <f>INDEX(pin!$X$90:$AN$108,MATCH(ΥΠΟΛΟΓΙΣΜΟΙ!BU30,pin!$V$90:$V$108,0),MATCH(ΥΠΟΛΟΓΙΣΜΟΙ!AX30,pin!$X$89:$AN$89,0))+0.2*(BU30-AI30)*(INDEX(pin!$X$90:$AN$108,MATCH(ΥΠΟΛΟΓΙΣΜΟΙ!BU30,pin!$V$90:$V$108,0),MATCH(ΥΠΟΛΟΓΙΣΜΟΙ!AX30,pin!$X$89:$AN$89,0))-INDEX(pin!$X$90:$AN$108,MATCH(ΥΠΟΛΟΓΙΣΜΟΙ!BV30,pin!$V$90:$V$108,0),MATCH(ΥΠΟΛΟΓΙΣΜΟΙ!AX30,pin!$X$89:$AN$89,0)))</f>
        <v>1</v>
      </c>
      <c r="CA30" s="191"/>
    </row>
    <row r="31" spans="1:119">
      <c r="A31" s="490">
        <v>15</v>
      </c>
      <c r="B31" s="118"/>
      <c r="C31" s="116"/>
      <c r="D31" s="116"/>
      <c r="E31" s="47" t="str">
        <f t="shared" ref="E31:E36" si="62">IF(C31=0,"-",IF(C31&gt;0,C31*D31,-1*C31*D31))</f>
        <v>-</v>
      </c>
      <c r="F31" s="116"/>
      <c r="G31" s="239" t="str">
        <f t="shared" ref="G31:G36" si="63">IFERROR(E31-F31,"-")</f>
        <v>-</v>
      </c>
      <c r="H31" s="240"/>
      <c r="I31" s="116"/>
      <c r="J31" s="116"/>
      <c r="K31" s="236" t="str">
        <f t="shared" ref="K31:K36" si="64">IF(C31&gt;0,IFERROR(((I31*(G31-H31*E31*0.01)+J31*H31*E31*0.01)/G31)+IF(N31="Πόρτα",0,IF($N$9="ΝΑΙ",0.2,0)),"-"),IF($N$8="κτιριακη μοναδα",IFERROR(0.5*((I31*(G31-H31*E31*0.01)+J31*H31*E31*0.01)/G31+IF(N31="Πόρτα",0,IF($N$9="ΝΑΙ",0.2,0))),"-"),IFERROR((I31*(G31-H31*E31*0.01)+J31*H31*E31*0.01)/G31+IF(N31="Πόρτα",0,IF($N$9="ΝΑΙ",0.2,0)),"-")))</f>
        <v>-</v>
      </c>
      <c r="L31" s="235"/>
      <c r="M31" s="235"/>
      <c r="N31" s="529" t="s">
        <v>671</v>
      </c>
      <c r="O31" s="46">
        <f t="shared" ref="O31:O36" si="65">IF(L31=-1,0,IF(C31&gt;=0,IF(K31&gt;0.6,BA31+0.0444*(L31-AW31)*(BB31-BA31),1),0))</f>
        <v>1</v>
      </c>
      <c r="P31" s="120">
        <f t="shared" ref="P31:P36" si="66">IF(L31=-1,0,IF(C31&gt;=0,IF(K31&gt;0.6,BC31+0.0444*(L31-AW31)*(BD31-BC31),1),0))</f>
        <v>1</v>
      </c>
      <c r="Q31" s="46">
        <f t="shared" ref="Q31:Q36" si="67">IF(L31=-1,0,IF(C31&gt;=0,IF(K31&gt;0.6,BG31+0.0444*(L31-AW31)*(BH31-BG31),0.9),0))</f>
        <v>1</v>
      </c>
      <c r="R31" s="120">
        <f t="shared" ref="R31:R36" si="68">IF(L31=-1,0,IF(C31&gt;=0,IF(K31&gt;0.6,IF(AG31=0,BI31+0.0444*(L31-AW31)*(BJ31-BI31),BM31+0.0444*(L31-AW31)*(BN31-BM31)),0.9),0))</f>
        <v>1</v>
      </c>
      <c r="S31" s="46">
        <f t="shared" ref="S31:S36" si="69">IF(L31=-1,0,IF(C31&gt;=0,IF(K31&gt;0.6,AJ31*AL31,1),0))</f>
        <v>1</v>
      </c>
      <c r="T31" s="120">
        <f t="shared" ref="T31:T36" si="70">IF(L31=-1,0,IF(C31&gt;=0,IF(K31&gt;0.6,AK31*AM31,1),0))</f>
        <v>1</v>
      </c>
      <c r="U31" s="499"/>
      <c r="V31" s="122"/>
      <c r="W31" s="116"/>
      <c r="X31" s="117"/>
      <c r="Y31" s="163"/>
      <c r="Z31" s="122"/>
      <c r="AA31" s="116"/>
      <c r="AB31" s="116"/>
      <c r="AC31" s="499"/>
      <c r="AD31" s="117"/>
      <c r="AE31" s="204">
        <f t="shared" ref="AE31:AE36" si="71">IFERROR(DEGREES(ATAN(V31/U31)),0)</f>
        <v>0</v>
      </c>
      <c r="AF31" s="180">
        <f t="shared" ref="AF31:AF36" si="72">IFERROR(DEGREES(ATAN(W31/X31)),0)</f>
        <v>0</v>
      </c>
      <c r="AG31" s="180">
        <f t="shared" ref="AG31:AG36" si="73">IF(Y31&gt;0,IF((Z31-X31)&gt;0,DEGREES(ATAN(Y31/(Z31-X31))),90),0)</f>
        <v>0</v>
      </c>
      <c r="AH31" s="180">
        <f t="shared" ref="AH31:AH36" si="74">IFERROR(DEGREES(ATAN(AA31/AB31)),0)</f>
        <v>0</v>
      </c>
      <c r="AI31" s="180">
        <f t="shared" ref="AI31:AI36" si="75">IFERROR(DEGREES(ATAN(AC31/AD31)),0)</f>
        <v>0</v>
      </c>
      <c r="AJ31" s="494">
        <f t="shared" ref="AJ31:AJ36" si="76">BQ31+0.0444*(L31-AW31)*(BR31-BQ31)</f>
        <v>1</v>
      </c>
      <c r="AK31" s="494">
        <f t="shared" ref="AK31:AK36" si="77">BS31+0.0444*(L31-AW31)*(BT31-BS31)</f>
        <v>1</v>
      </c>
      <c r="AL31" s="494">
        <f t="shared" ref="AL31:AL36" si="78">BW31+0.0444*(L31-AW31)*(BX31-BW31)</f>
        <v>1</v>
      </c>
      <c r="AM31" s="494">
        <f t="shared" ref="AM31:AM36" si="79">BY31+0.0444*(L31-AW31)*(BZ31-BY31)</f>
        <v>1</v>
      </c>
      <c r="AN31" s="493">
        <f t="shared" ref="AN31:AN36" si="80">IF(L31=-1,"-",MROUND(L31, 22.5))</f>
        <v>0</v>
      </c>
      <c r="AO31" s="491"/>
      <c r="AP31" s="491"/>
      <c r="AQ31" s="491"/>
      <c r="AR31" s="491"/>
      <c r="AS31" s="491"/>
      <c r="AT31" s="491"/>
      <c r="AU31" s="491"/>
      <c r="AV31" s="491" t="s">
        <v>256</v>
      </c>
      <c r="AW31" s="491">
        <f t="shared" ref="AW31:AW36" si="81">IF(AN31-L31&lt;=0,AN31,AN31-22.5)</f>
        <v>0</v>
      </c>
      <c r="AX31" s="492">
        <f t="shared" ref="AX31:AX36" si="82">IF(AN31-L31=0,AN31,AW31+22.5)</f>
        <v>0</v>
      </c>
      <c r="AY31" s="493">
        <f t="shared" ref="AY31:AY36" si="83">IF(MROUND(AE31,2.5)-AE31&lt;=0,MROUND(AE31,2.5),MROUND(AE31,2.5)-2.5)</f>
        <v>0</v>
      </c>
      <c r="AZ31" s="491">
        <f t="shared" ref="AZ31:AZ36" si="84">IF(MROUND(AE31,2.5)-AE31=0,MROUND(AE31,2.5),AY31+2.5)</f>
        <v>0</v>
      </c>
      <c r="BA31" s="491">
        <f>INDEX(pin!$D$6:$T$42,MATCH(ΥΠΟΛΟΓΙΣΜΟΙ!AY31,pin!$B$6:$B$42,0),MATCH(ΥΠΟΛΟΓΙΣΜΟΙ!AW31,pin!$D$5:$T$5,0))+0.4*(AY31-AE31)*(INDEX(pin!$D$6:$T$42,MATCH(ΥΠΟΛΟΓΙΣΜΟΙ!AY31,pin!$B$6:$B$42,0),MATCH(ΥΠΟΛΟΓΙΣΜΟΙ!AW31,pin!$D$5:$T$5,0))-INDEX(pin!$D$6:$T$42,MATCH(ΥΠΟΛΟΓΙΣΜΟΙ!AZ31,pin!$B$6:$B$42,0),MATCH(ΥΠΟΛΟΓΙΣΜΟΙ!AW31,pin!$D$5:$T$5,0)))</f>
        <v>1</v>
      </c>
      <c r="BB31" s="492">
        <f>INDEX(pin!$D$6:$T$42,MATCH(ΥΠΟΛΟΓΙΣΜΟΙ!AY31,pin!$B$6:$B$42,0),MATCH(ΥΠΟΛΟΓΙΣΜΟΙ!AX31,pin!$D$5:$T$5,0))+0.4*(AY31-AE31)*(INDEX(pin!$D$6:$T$42,MATCH(ΥΠΟΛΟΓΙΣΜΟΙ!AY31,pin!$B$6:$B$42,0),MATCH(ΥΠΟΛΟΓΙΣΜΟΙ!AX31,pin!$D$5:$T$5,0))-INDEX(pin!$D$6:$T$42,MATCH(ΥΠΟΛΟΓΙΣΜΟΙ!AZ31,pin!$B$6:$B$42,0),MATCH(ΥΠΟΛΟΓΙΣΜΟΙ!AX31,pin!$D$5:$T$5,0)))</f>
        <v>1</v>
      </c>
      <c r="BC31" s="491">
        <f>INDEX(pin!$X$6:$AN$42,MATCH(ΥΠΟΛΟΓΙΣΜΟΙ!AY31,pin!$V$6:$V$42,0),MATCH(ΥΠΟΛΟΓΙΣΜΟΙ!AW31,pin!$X$5:$AN$5,0))+0.4*(AY31-AE31)*(INDEX(pin!$X$6:$AN$42,MATCH(ΥΠΟΛΟΓΙΣΜΟΙ!AY31,pin!$V$6:$V$42,0),MATCH(ΥΠΟΛΟΓΙΣΜΟΙ!AW31,pin!$X$5:$AN$5,0))-INDEX(pin!$X$6:$AN$42,MATCH(ΥΠΟΛΟΓΙΣΜΟΙ!AZ31,pin!$V$6:$V$42,0),MATCH(ΥΠΟΛΟΓΙΣΜΟΙ!AW31,pin!$X$5:$AN$5,0)))</f>
        <v>1</v>
      </c>
      <c r="BD31" s="491">
        <f>INDEX(pin!$X$6:$AN$42,MATCH(ΥΠΟΛΟΓΙΣΜΟΙ!AY31,pin!$V$6:$V$42,0),MATCH(ΥΠΟΛΟΓΙΣΜΟΙ!AX31,pin!$X$5:$AN$5,0))+0.4*(AY31-AE31)*(INDEX(pin!$X$6:$AN$42,MATCH(ΥΠΟΛΟΓΙΣΜΟΙ!AY31,pin!$V$6:$V$42,0),MATCH(ΥΠΟΛΟΓΙΣΜΟΙ!AX31,pin!$X$5:$AN$5,0))-INDEX(pin!$X$6:$AN$42,MATCH(ΥΠΟΛΟΓΙΣΜΟΙ!AZ31,pin!$V$6:$V$42,0),MATCH(ΥΠΟΛΟΓΙΣΜΟΙ!AX31,pin!$X$5:$AN$5,0)))</f>
        <v>1</v>
      </c>
      <c r="BE31" s="493">
        <f t="shared" ref="BE31:BE36" si="85">IF(MROUND(AF31,2.5)-AF31&lt;=0,MROUND(AF31,2.5),MROUND(AF31,2.5)-2.5)</f>
        <v>0</v>
      </c>
      <c r="BF31" s="491">
        <f t="shared" ref="BF31:BF36" si="86">IF(MROUND(AF31,2.5)-AF31=0,MROUND(AF31,2.5),BE31+2.5)</f>
        <v>0</v>
      </c>
      <c r="BG31" s="491">
        <f>INDEX(pin!$D$48:$T$84,MATCH(ΥΠΟΛΟΓΙΣΜΟΙ!BE31,pin!$B$48:$B$84,0),MATCH(ΥΠΟΛΟΓΙΣΜΟΙ!AW31,pin!$D$47:$T$47,0))+0.4*(BE31-AF31)*(INDEX(pin!$D$48:$T$84,MATCH(ΥΠΟΛΟΓΙΣΜΟΙ!BE31,pin!$B$48:$B$84,0),MATCH(ΥΠΟΛΟΓΙΣΜΟΙ!AW31,pin!$D$47:$T$47,0))-INDEX(pin!$D$48:$T$84,MATCH(ΥΠΟΛΟΓΙΣΜΟΙ!BF31,pin!$B$48:$B$84,0),MATCH(ΥΠΟΛΟΓΙΣΜΟΙ!AW31,pin!$D$47:$T$47,0)))</f>
        <v>1</v>
      </c>
      <c r="BH31" s="491">
        <f>INDEX(pin!$D$48:$T$84,MATCH(ΥΠΟΛΟΓΙΣΜΟΙ!BE31,pin!$B$48:$B$84,0),MATCH(ΥΠΟΛΟΓΙΣΜΟΙ!AX31,pin!$D$47:$T$47,0))+0.4*(BE31-AF31)*(INDEX(pin!$D$48:$T$84,MATCH(ΥΠΟΛΟΓΙΣΜΟΙ!BE31,pin!$B$48:$B$84,0),MATCH(ΥΠΟΛΟΓΙΣΜΟΙ!AX31,pin!$D$47:$T$47,0))-INDEX(pin!$D$48:$T$84,MATCH(ΥΠΟΛΟΓΙΣΜΟΙ!BF31,pin!$B$48:$B$84,0),MATCH(ΥΠΟΛΟΓΙΣΜΟΙ!AX31,pin!$D$47:$T$47,0)))</f>
        <v>1</v>
      </c>
      <c r="BI31" s="493">
        <f>INDEX(pin!$X$48:$AN$84,MATCH(ΥΠΟΛΟΓΙΣΜΟΙ!BE31,pin!$V$48:$V$84,0),MATCH(ΥΠΟΛΟΓΙΣΜΟΙ!AW31,pin!$X$47:$AN$47,0))+0.4*(BE31-AF31)*(INDEX(pin!$X$48:$AN$84,MATCH(ΥΠΟΛΟΓΙΣΜΟΙ!BE31,pin!$V$48:$V$84,0),MATCH(ΥΠΟΛΟΓΙΣΜΟΙ!AW31,pin!$X$47:$AN$47,0))-INDEX(pin!$X$48:$AN$84,MATCH(ΥΠΟΛΟΓΙΣΜΟΙ!BF31,pin!$V$48:$V$84,0),MATCH(ΥΠΟΛΟΓΙΣΜΟΙ!AW31,pin!$X$47:$AN$47,0)))</f>
        <v>1</v>
      </c>
      <c r="BJ31" s="492">
        <f>INDEX(pin!$X$48:$AN$84,MATCH(ΥΠΟΛΟΓΙΣΜΟΙ!BE31,pin!$V$48:$V$84,0),MATCH(ΥΠΟΛΟΓΙΣΜΟΙ!AX31,pin!$X$47:$AN$47,0))+0.4*(BE31-AF31)*(INDEX(pin!$X$48:$AN$84,MATCH(ΥΠΟΛΟΓΙΣΜΟΙ!BE31,pin!$V$48:$V$84,0),MATCH(ΥΠΟΛΟΓΙΣΜΟΙ!AX31,pin!$X$47:$AN$47,0))-INDEX(pin!$X$48:$AN$84,MATCH(ΥΠΟΛΟΓΙΣΜΟΙ!BF31,pin!$V$48:$V$84,0),MATCH(ΥΠΟΛΟΓΙΣΜΟΙ!AX31,pin!$X$47:$AN$47,0)))</f>
        <v>1</v>
      </c>
      <c r="BK31" s="493">
        <f t="shared" ref="BK31:BK36" si="87">IF(MROUND(AG31,2.5)-AG31&lt;=0,MROUND(AG31,2.5),MROUND(AG31,2.5)-2.5)</f>
        <v>0</v>
      </c>
      <c r="BL31" s="491">
        <f t="shared" ref="BL31:BL36" si="88">IF(MROUND(AG31,2.5)-AG31=0,MROUND(AG31,2.5),BK31+2.5)</f>
        <v>0</v>
      </c>
      <c r="BM31" s="491">
        <f>INDEX(pin!$X$48:$AN$84,MATCH(ΥΠΟΛΟΓΙΣΜΟΙ!BK31,pin!$V$48:$V$84,0),MATCH(ΥΠΟΛΟΓΙΣΜΟΙ!AW31,pin!$X$47:$AN$47,0))+0.4*(BK31-AG31)*(INDEX(pin!$X$48:$AN$84,MATCH(ΥΠΟΛΟΓΙΣΜΟΙ!BK31,pin!$V$48:$V$84,0),MATCH(ΥΠΟΛΟΓΙΣΜΟΙ!AW31,pin!$X$47:$AN$47,0))-INDEX(pin!$X$48:$AN$84,MATCH(ΥΠΟΛΟΓΙΣΜΟΙ!BL31,pin!$V$48:$V$84,0),MATCH(ΥΠΟΛΟΓΙΣΜΟΙ!AW31,pin!$X$47:$AN$47,0)))</f>
        <v>1</v>
      </c>
      <c r="BN31" s="492">
        <f>INDEX(pin!$X$48:$AN$84,MATCH(ΥΠΟΛΟΓΙΣΜΟΙ!BK31,pin!$V$48:$V$84,0),MATCH(ΥΠΟΛΟΓΙΣΜΟΙ!AX31,pin!$X$47:$AN$47,0))+0.4*(BK31-AG31)*(INDEX(pin!$X$48:$AN$84,MATCH(ΥΠΟΛΟΓΙΣΜΟΙ!BK31,pin!$V$48:$V$84,0),MATCH(ΥΠΟΛΟΓΙΣΜΟΙ!AX31,pin!$X$47:$AN$47,0))-INDEX(pin!$X$48:$AN$84,MATCH(ΥΠΟΛΟΓΙΣΜΟΙ!BL31,pin!$V$48:$V$84,0),MATCH(ΥΠΟΛΟΓΙΣΜΟΙ!AX31,pin!$X$47:$AN$47,0)))</f>
        <v>1</v>
      </c>
      <c r="BO31" s="493">
        <f t="shared" ref="BO31:BO36" si="89">IF(MROUND(AH31,5)-AH31&lt;=0,MROUND(AH31,5),MROUND(AH31,5)-5)</f>
        <v>0</v>
      </c>
      <c r="BP31" s="491">
        <f t="shared" ref="BP31:BP36" si="90">IF(MROUND(AH31,5)-AH31=0,MROUND(AH31,5),BO31+5)</f>
        <v>0</v>
      </c>
      <c r="BQ31" s="491">
        <f>INDEX(pin!$D$114:$T$132,MATCH(ΥΠΟΛΟΓΙΣΜΟΙ!BO31,pin!$B$114:$B$132,0),MATCH(ΥΠΟΛΟΓΙΣΜΟΙ!AW31,pin!$D$113:$T$113,0))+0.2*(BO31-AH31)*(INDEX(pin!$D$114:$T$132,MATCH(ΥΠΟΛΟΓΙΣΜΟΙ!BO31,pin!$B$114:$B$132,0),MATCH(ΥΠΟΛΟΓΙΣΜΟΙ!AW31,pin!$D$113:$T$113,0))-INDEX(pin!$D$114:$T$132,MATCH(ΥΠΟΛΟΓΙΣΜΟΙ!BP31,pin!$B$114:$B$132,0),MATCH(ΥΠΟΛΟΓΙΣΜΟΙ!AW31,pin!$D$113:$T$113,0)))</f>
        <v>1</v>
      </c>
      <c r="BR31" s="491">
        <f>INDEX(pin!$D$114:$T$132,MATCH(ΥΠΟΛΟΓΙΣΜΟΙ!BO31,pin!$B$114:$B$132,0),MATCH(ΥΠΟΛΟΓΙΣΜΟΙ!AX31,pin!$D$113:$T$113,0))+0.2*(BO31-AH31)*(INDEX(pin!$D$114:$T$132,MATCH(ΥΠΟΛΟΓΙΣΜΟΙ!BO31,pin!$B$114:$B$132,0),MATCH(ΥΠΟΛΟΓΙΣΜΟΙ!AX31,pin!$D$113:$T$113,0))-INDEX(pin!$D$114:$T$132,MATCH(ΥΠΟΛΟΓΙΣΜΟΙ!BP31,pin!$B$114:$B$132,0),MATCH(ΥΠΟΛΟΓΙΣΜΟΙ!AX31,pin!$D$113:$T$113,0)))</f>
        <v>1</v>
      </c>
      <c r="BS31" s="493">
        <f>INDEX(pin!$X$114:$AN$132,MATCH(ΥΠΟΛΟΓΙΣΜΟΙ!BO31,pin!$V$114:$V$132,0),MATCH(ΥΠΟΛΟΓΙΣΜΟΙ!AW31,pin!$X$113:$AN$113,0))+0.2*(BO31-AH31)*(INDEX(pin!$X$114:$AN$132,MATCH(ΥΠΟΛΟΓΙΣΜΟΙ!BO31,pin!$V$114:$V$132,0),MATCH(ΥΠΟΛΟΓΙΣΜΟΙ!AW31,pin!$X$113:$AN$113,0))-INDEX(pin!$X$114:$AN$132,MATCH(ΥΠΟΛΟΓΙΣΜΟΙ!BP31,pin!$V$114:$V$132,0),MATCH(ΥΠΟΛΟΓΙΣΜΟΙ!AW31,pin!$X$113:$AN$113,0)))</f>
        <v>1</v>
      </c>
      <c r="BT31" s="492">
        <f>INDEX(pin!$X$114:$AN$132,MATCH(ΥΠΟΛΟΓΙΣΜΟΙ!BO31,pin!$V$114:$V$132,0),MATCH(ΥΠΟΛΟΓΙΣΜΟΙ!AX31,pin!$X$113:$AN$113,0))+0.2*(BO31-AH31)*(INDEX(pin!$X$114:$AN$132,MATCH(ΥΠΟΛΟΓΙΣΜΟΙ!BO31,pin!$V$114:$V$132,0),MATCH(ΥΠΟΛΟΓΙΣΜΟΙ!AX31,pin!$X$113:$AN$113,0))-INDEX(pin!$X$114:$AN$132,MATCH(ΥΠΟΛΟΓΙΣΜΟΙ!BP31,pin!$V$114:$V$132,0),MATCH(ΥΠΟΛΟΓΙΣΜΟΙ!AX31,pin!$X$113:$AN$113,0)))</f>
        <v>1</v>
      </c>
      <c r="BU31" s="493">
        <f t="shared" ref="BU31:BU36" si="91">IF(MROUND(AI31,5)-AI31&lt;=0,MROUND(AI31,5),MROUND(AI31,5)-5)</f>
        <v>0</v>
      </c>
      <c r="BV31" s="491">
        <f t="shared" ref="BV31:BV36" si="92">IF(MROUND(AI31,5)-AI31=0,MROUND(AI31,5),BU31+5)</f>
        <v>0</v>
      </c>
      <c r="BW31" s="491">
        <f>INDEX(pin!$D$90:$T$108,MATCH(ΥΠΟΛΟΓΙΣΜΟΙ!BU31,pin!$B$90:$B$108,0),MATCH(ΥΠΟΛΟΓΙΣΜΟΙ!AW31,pin!$D$89:$T$89,0))+0.2*(BU31-AI31)*(INDEX(pin!$D$90:$T$108,MATCH(ΥΠΟΛΟΓΙΣΜΟΙ!BU31,pin!$B$90:$B$108,0),MATCH(ΥΠΟΛΟΓΙΣΜΟΙ!AW31,pin!$D$89:$T$89,0))-INDEX(pin!$D$90:$T$108,MATCH(ΥΠΟΛΟΓΙΣΜΟΙ!BV31,pin!$B$90:$B$108,0),MATCH(ΥΠΟΛΟΓΙΣΜΟΙ!AW31,pin!$D$89:$T$89,0)))</f>
        <v>1</v>
      </c>
      <c r="BX31" s="492">
        <f>INDEX(pin!$D$90:$T$108,MATCH(ΥΠΟΛΟΓΙΣΜΟΙ!BU31,pin!$B$90:$B$108,0),MATCH(ΥΠΟΛΟΓΙΣΜΟΙ!AX31,pin!$D$89:$T$89,0))+0.2*(BU31-AI31)*(INDEX(pin!$D$90:$T$108,MATCH(ΥΠΟΛΟΓΙΣΜΟΙ!BU31,pin!$B$90:$B$108,0),MATCH(ΥΠΟΛΟΓΙΣΜΟΙ!AX31,pin!$D$89:$T$89,0))-INDEX(pin!$D$90:$T$108,MATCH(ΥΠΟΛΟΓΙΣΜΟΙ!BV31,pin!$B$90:$B$108,0),MATCH(ΥΠΟΛΟΓΙΣΜΟΙ!AX31,pin!$D$89:$T$89,0)))</f>
        <v>1</v>
      </c>
      <c r="BY31" s="491">
        <f>INDEX(pin!$X$90:$AN$108,MATCH(ΥΠΟΛΟΓΙΣΜΟΙ!BU31,pin!$V$90:$V$108,0),MATCH(ΥΠΟΛΟΓΙΣΜΟΙ!AW31,pin!$X$89:$AN$89,0))+0.2*(BU31-AI31)*(INDEX(pin!$X$90:$AN$108,MATCH(ΥΠΟΛΟΓΙΣΜΟΙ!BU31,pin!$V$90:$V$108,0),MATCH(ΥΠΟΛΟΓΙΣΜΟΙ!AW31,pin!$X$89:$AN$89,0))-INDEX(pin!$X$90:$AN$108,MATCH(ΥΠΟΛΟΓΙΣΜΟΙ!BV31,pin!$V$90:$V$108,0),MATCH(ΥΠΟΛΟΓΙΣΜΟΙ!AW31,pin!$X$89:$AN$89,0)))</f>
        <v>1</v>
      </c>
      <c r="BZ31" s="492">
        <f>INDEX(pin!$X$90:$AN$108,MATCH(ΥΠΟΛΟΓΙΣΜΟΙ!BU31,pin!$V$90:$V$108,0),MATCH(ΥΠΟΛΟΓΙΣΜΟΙ!AX31,pin!$X$89:$AN$89,0))+0.2*(BU31-AI31)*(INDEX(pin!$X$90:$AN$108,MATCH(ΥΠΟΛΟΓΙΣΜΟΙ!BU31,pin!$V$90:$V$108,0),MATCH(ΥΠΟΛΟΓΙΣΜΟΙ!AX31,pin!$X$89:$AN$89,0))-INDEX(pin!$X$90:$AN$108,MATCH(ΥΠΟΛΟΓΙΣΜΟΙ!BV31,pin!$V$90:$V$108,0),MATCH(ΥΠΟΛΟΓΙΣΜΟΙ!AX31,pin!$X$89:$AN$89,0)))</f>
        <v>1</v>
      </c>
      <c r="CA31" s="191"/>
    </row>
    <row r="32" spans="1:119">
      <c r="A32" s="490">
        <v>16</v>
      </c>
      <c r="B32" s="118"/>
      <c r="C32" s="116"/>
      <c r="D32" s="116"/>
      <c r="E32" s="47" t="str">
        <f t="shared" si="62"/>
        <v>-</v>
      </c>
      <c r="F32" s="116"/>
      <c r="G32" s="239" t="str">
        <f t="shared" si="63"/>
        <v>-</v>
      </c>
      <c r="H32" s="240"/>
      <c r="I32" s="116"/>
      <c r="J32" s="116"/>
      <c r="K32" s="236" t="str">
        <f t="shared" si="64"/>
        <v>-</v>
      </c>
      <c r="L32" s="235"/>
      <c r="M32" s="235"/>
      <c r="N32" s="529" t="s">
        <v>671</v>
      </c>
      <c r="O32" s="46">
        <f t="shared" si="65"/>
        <v>1</v>
      </c>
      <c r="P32" s="120">
        <f t="shared" si="66"/>
        <v>1</v>
      </c>
      <c r="Q32" s="46">
        <f t="shared" si="67"/>
        <v>1</v>
      </c>
      <c r="R32" s="120">
        <f t="shared" si="68"/>
        <v>1</v>
      </c>
      <c r="S32" s="46">
        <f t="shared" si="69"/>
        <v>1</v>
      </c>
      <c r="T32" s="120">
        <f t="shared" si="70"/>
        <v>1</v>
      </c>
      <c r="U32" s="499"/>
      <c r="V32" s="122"/>
      <c r="W32" s="116"/>
      <c r="X32" s="117"/>
      <c r="Y32" s="163"/>
      <c r="Z32" s="122"/>
      <c r="AA32" s="116"/>
      <c r="AB32" s="116"/>
      <c r="AC32" s="499"/>
      <c r="AD32" s="117"/>
      <c r="AE32" s="204">
        <f t="shared" si="71"/>
        <v>0</v>
      </c>
      <c r="AF32" s="180">
        <f t="shared" si="72"/>
        <v>0</v>
      </c>
      <c r="AG32" s="180">
        <f t="shared" si="73"/>
        <v>0</v>
      </c>
      <c r="AH32" s="180">
        <f t="shared" si="74"/>
        <v>0</v>
      </c>
      <c r="AI32" s="180">
        <f t="shared" si="75"/>
        <v>0</v>
      </c>
      <c r="AJ32" s="494">
        <f t="shared" si="76"/>
        <v>1</v>
      </c>
      <c r="AK32" s="494">
        <f t="shared" si="77"/>
        <v>1</v>
      </c>
      <c r="AL32" s="494">
        <f t="shared" si="78"/>
        <v>1</v>
      </c>
      <c r="AM32" s="494">
        <f t="shared" si="79"/>
        <v>1</v>
      </c>
      <c r="AN32" s="493">
        <f t="shared" si="80"/>
        <v>0</v>
      </c>
      <c r="AO32" s="491"/>
      <c r="AP32" s="491"/>
      <c r="AQ32" s="491"/>
      <c r="AR32" s="491"/>
      <c r="AS32" s="491"/>
      <c r="AT32" s="491"/>
      <c r="AU32" s="491"/>
      <c r="AV32" s="491" t="s">
        <v>256</v>
      </c>
      <c r="AW32" s="491">
        <f t="shared" si="81"/>
        <v>0</v>
      </c>
      <c r="AX32" s="492">
        <f t="shared" si="82"/>
        <v>0</v>
      </c>
      <c r="AY32" s="493">
        <f t="shared" si="83"/>
        <v>0</v>
      </c>
      <c r="AZ32" s="491">
        <f t="shared" si="84"/>
        <v>0</v>
      </c>
      <c r="BA32" s="491">
        <f>INDEX(pin!$D$6:$T$42,MATCH(ΥΠΟΛΟΓΙΣΜΟΙ!AY32,pin!$B$6:$B$42,0),MATCH(ΥΠΟΛΟΓΙΣΜΟΙ!AW32,pin!$D$5:$T$5,0))+0.4*(AY32-AE32)*(INDEX(pin!$D$6:$T$42,MATCH(ΥΠΟΛΟΓΙΣΜΟΙ!AY32,pin!$B$6:$B$42,0),MATCH(ΥΠΟΛΟΓΙΣΜΟΙ!AW32,pin!$D$5:$T$5,0))-INDEX(pin!$D$6:$T$42,MATCH(ΥΠΟΛΟΓΙΣΜΟΙ!AZ32,pin!$B$6:$B$42,0),MATCH(ΥΠΟΛΟΓΙΣΜΟΙ!AW32,pin!$D$5:$T$5,0)))</f>
        <v>1</v>
      </c>
      <c r="BB32" s="492">
        <f>INDEX(pin!$D$6:$T$42,MATCH(ΥΠΟΛΟΓΙΣΜΟΙ!AY32,pin!$B$6:$B$42,0),MATCH(ΥΠΟΛΟΓΙΣΜΟΙ!AX32,pin!$D$5:$T$5,0))+0.4*(AY32-AE32)*(INDEX(pin!$D$6:$T$42,MATCH(ΥΠΟΛΟΓΙΣΜΟΙ!AY32,pin!$B$6:$B$42,0),MATCH(ΥΠΟΛΟΓΙΣΜΟΙ!AX32,pin!$D$5:$T$5,0))-INDEX(pin!$D$6:$T$42,MATCH(ΥΠΟΛΟΓΙΣΜΟΙ!AZ32,pin!$B$6:$B$42,0),MATCH(ΥΠΟΛΟΓΙΣΜΟΙ!AX32,pin!$D$5:$T$5,0)))</f>
        <v>1</v>
      </c>
      <c r="BC32" s="491">
        <f>INDEX(pin!$X$6:$AN$42,MATCH(ΥΠΟΛΟΓΙΣΜΟΙ!AY32,pin!$V$6:$V$42,0),MATCH(ΥΠΟΛΟΓΙΣΜΟΙ!AW32,pin!$X$5:$AN$5,0))+0.4*(AY32-AE32)*(INDEX(pin!$X$6:$AN$42,MATCH(ΥΠΟΛΟΓΙΣΜΟΙ!AY32,pin!$V$6:$V$42,0),MATCH(ΥΠΟΛΟΓΙΣΜΟΙ!AW32,pin!$X$5:$AN$5,0))-INDEX(pin!$X$6:$AN$42,MATCH(ΥΠΟΛΟΓΙΣΜΟΙ!AZ32,pin!$V$6:$V$42,0),MATCH(ΥΠΟΛΟΓΙΣΜΟΙ!AW32,pin!$X$5:$AN$5,0)))</f>
        <v>1</v>
      </c>
      <c r="BD32" s="491">
        <f>INDEX(pin!$X$6:$AN$42,MATCH(ΥΠΟΛΟΓΙΣΜΟΙ!AY32,pin!$V$6:$V$42,0),MATCH(ΥΠΟΛΟΓΙΣΜΟΙ!AX32,pin!$X$5:$AN$5,0))+0.4*(AY32-AE32)*(INDEX(pin!$X$6:$AN$42,MATCH(ΥΠΟΛΟΓΙΣΜΟΙ!AY32,pin!$V$6:$V$42,0),MATCH(ΥΠΟΛΟΓΙΣΜΟΙ!AX32,pin!$X$5:$AN$5,0))-INDEX(pin!$X$6:$AN$42,MATCH(ΥΠΟΛΟΓΙΣΜΟΙ!AZ32,pin!$V$6:$V$42,0),MATCH(ΥΠΟΛΟΓΙΣΜΟΙ!AX32,pin!$X$5:$AN$5,0)))</f>
        <v>1</v>
      </c>
      <c r="BE32" s="493">
        <f t="shared" si="85"/>
        <v>0</v>
      </c>
      <c r="BF32" s="491">
        <f t="shared" si="86"/>
        <v>0</v>
      </c>
      <c r="BG32" s="491">
        <f>INDEX(pin!$D$48:$T$84,MATCH(ΥΠΟΛΟΓΙΣΜΟΙ!BE32,pin!$B$48:$B$84,0),MATCH(ΥΠΟΛΟΓΙΣΜΟΙ!AW32,pin!$D$47:$T$47,0))+0.4*(BE32-AF32)*(INDEX(pin!$D$48:$T$84,MATCH(ΥΠΟΛΟΓΙΣΜΟΙ!BE32,pin!$B$48:$B$84,0),MATCH(ΥΠΟΛΟΓΙΣΜΟΙ!AW32,pin!$D$47:$T$47,0))-INDEX(pin!$D$48:$T$84,MATCH(ΥΠΟΛΟΓΙΣΜΟΙ!BF32,pin!$B$48:$B$84,0),MATCH(ΥΠΟΛΟΓΙΣΜΟΙ!AW32,pin!$D$47:$T$47,0)))</f>
        <v>1</v>
      </c>
      <c r="BH32" s="491">
        <f>INDEX(pin!$D$48:$T$84,MATCH(ΥΠΟΛΟΓΙΣΜΟΙ!BE32,pin!$B$48:$B$84,0),MATCH(ΥΠΟΛΟΓΙΣΜΟΙ!AX32,pin!$D$47:$T$47,0))+0.4*(BE32-AF32)*(INDEX(pin!$D$48:$T$84,MATCH(ΥΠΟΛΟΓΙΣΜΟΙ!BE32,pin!$B$48:$B$84,0),MATCH(ΥΠΟΛΟΓΙΣΜΟΙ!AX32,pin!$D$47:$T$47,0))-INDEX(pin!$D$48:$T$84,MATCH(ΥΠΟΛΟΓΙΣΜΟΙ!BF32,pin!$B$48:$B$84,0),MATCH(ΥΠΟΛΟΓΙΣΜΟΙ!AX32,pin!$D$47:$T$47,0)))</f>
        <v>1</v>
      </c>
      <c r="BI32" s="493">
        <f>INDEX(pin!$X$48:$AN$84,MATCH(ΥΠΟΛΟΓΙΣΜΟΙ!BE32,pin!$V$48:$V$84,0),MATCH(ΥΠΟΛΟΓΙΣΜΟΙ!AW32,pin!$X$47:$AN$47,0))+0.4*(BE32-AF32)*(INDEX(pin!$X$48:$AN$84,MATCH(ΥΠΟΛΟΓΙΣΜΟΙ!BE32,pin!$V$48:$V$84,0),MATCH(ΥΠΟΛΟΓΙΣΜΟΙ!AW32,pin!$X$47:$AN$47,0))-INDEX(pin!$X$48:$AN$84,MATCH(ΥΠΟΛΟΓΙΣΜΟΙ!BF32,pin!$V$48:$V$84,0),MATCH(ΥΠΟΛΟΓΙΣΜΟΙ!AW32,pin!$X$47:$AN$47,0)))</f>
        <v>1</v>
      </c>
      <c r="BJ32" s="492">
        <f>INDEX(pin!$X$48:$AN$84,MATCH(ΥΠΟΛΟΓΙΣΜΟΙ!BE32,pin!$V$48:$V$84,0),MATCH(ΥΠΟΛΟΓΙΣΜΟΙ!AX32,pin!$X$47:$AN$47,0))+0.4*(BE32-AF32)*(INDEX(pin!$X$48:$AN$84,MATCH(ΥΠΟΛΟΓΙΣΜΟΙ!BE32,pin!$V$48:$V$84,0),MATCH(ΥΠΟΛΟΓΙΣΜΟΙ!AX32,pin!$X$47:$AN$47,0))-INDEX(pin!$X$48:$AN$84,MATCH(ΥΠΟΛΟΓΙΣΜΟΙ!BF32,pin!$V$48:$V$84,0),MATCH(ΥΠΟΛΟΓΙΣΜΟΙ!AX32,pin!$X$47:$AN$47,0)))</f>
        <v>1</v>
      </c>
      <c r="BK32" s="493">
        <f t="shared" si="87"/>
        <v>0</v>
      </c>
      <c r="BL32" s="491">
        <f t="shared" si="88"/>
        <v>0</v>
      </c>
      <c r="BM32" s="491">
        <f>INDEX(pin!$X$48:$AN$84,MATCH(ΥΠΟΛΟΓΙΣΜΟΙ!BK32,pin!$V$48:$V$84,0),MATCH(ΥΠΟΛΟΓΙΣΜΟΙ!AW32,pin!$X$47:$AN$47,0))+0.4*(BK32-AG32)*(INDEX(pin!$X$48:$AN$84,MATCH(ΥΠΟΛΟΓΙΣΜΟΙ!BK32,pin!$V$48:$V$84,0),MATCH(ΥΠΟΛΟΓΙΣΜΟΙ!AW32,pin!$X$47:$AN$47,0))-INDEX(pin!$X$48:$AN$84,MATCH(ΥΠΟΛΟΓΙΣΜΟΙ!BL32,pin!$V$48:$V$84,0),MATCH(ΥΠΟΛΟΓΙΣΜΟΙ!AW32,pin!$X$47:$AN$47,0)))</f>
        <v>1</v>
      </c>
      <c r="BN32" s="492">
        <f>INDEX(pin!$X$48:$AN$84,MATCH(ΥΠΟΛΟΓΙΣΜΟΙ!BK32,pin!$V$48:$V$84,0),MATCH(ΥΠΟΛΟΓΙΣΜΟΙ!AX32,pin!$X$47:$AN$47,0))+0.4*(BK32-AG32)*(INDEX(pin!$X$48:$AN$84,MATCH(ΥΠΟΛΟΓΙΣΜΟΙ!BK32,pin!$V$48:$V$84,0),MATCH(ΥΠΟΛΟΓΙΣΜΟΙ!AX32,pin!$X$47:$AN$47,0))-INDEX(pin!$X$48:$AN$84,MATCH(ΥΠΟΛΟΓΙΣΜΟΙ!BL32,pin!$V$48:$V$84,0),MATCH(ΥΠΟΛΟΓΙΣΜΟΙ!AX32,pin!$X$47:$AN$47,0)))</f>
        <v>1</v>
      </c>
      <c r="BO32" s="493">
        <f t="shared" si="89"/>
        <v>0</v>
      </c>
      <c r="BP32" s="491">
        <f t="shared" si="90"/>
        <v>0</v>
      </c>
      <c r="BQ32" s="491">
        <f>INDEX(pin!$D$114:$T$132,MATCH(ΥΠΟΛΟΓΙΣΜΟΙ!BO32,pin!$B$114:$B$132,0),MATCH(ΥΠΟΛΟΓΙΣΜΟΙ!AW32,pin!$D$113:$T$113,0))+0.2*(BO32-AH32)*(INDEX(pin!$D$114:$T$132,MATCH(ΥΠΟΛΟΓΙΣΜΟΙ!BO32,pin!$B$114:$B$132,0),MATCH(ΥΠΟΛΟΓΙΣΜΟΙ!AW32,pin!$D$113:$T$113,0))-INDEX(pin!$D$114:$T$132,MATCH(ΥΠΟΛΟΓΙΣΜΟΙ!BP32,pin!$B$114:$B$132,0),MATCH(ΥΠΟΛΟΓΙΣΜΟΙ!AW32,pin!$D$113:$T$113,0)))</f>
        <v>1</v>
      </c>
      <c r="BR32" s="491">
        <f>INDEX(pin!$D$114:$T$132,MATCH(ΥΠΟΛΟΓΙΣΜΟΙ!BO32,pin!$B$114:$B$132,0),MATCH(ΥΠΟΛΟΓΙΣΜΟΙ!AX32,pin!$D$113:$T$113,0))+0.2*(BO32-AH32)*(INDEX(pin!$D$114:$T$132,MATCH(ΥΠΟΛΟΓΙΣΜΟΙ!BO32,pin!$B$114:$B$132,0),MATCH(ΥΠΟΛΟΓΙΣΜΟΙ!AX32,pin!$D$113:$T$113,0))-INDEX(pin!$D$114:$T$132,MATCH(ΥΠΟΛΟΓΙΣΜΟΙ!BP32,pin!$B$114:$B$132,0),MATCH(ΥΠΟΛΟΓΙΣΜΟΙ!AX32,pin!$D$113:$T$113,0)))</f>
        <v>1</v>
      </c>
      <c r="BS32" s="493">
        <f>INDEX(pin!$X$114:$AN$132,MATCH(ΥΠΟΛΟΓΙΣΜΟΙ!BO32,pin!$V$114:$V$132,0),MATCH(ΥΠΟΛΟΓΙΣΜΟΙ!AW32,pin!$X$113:$AN$113,0))+0.2*(BO32-AH32)*(INDEX(pin!$X$114:$AN$132,MATCH(ΥΠΟΛΟΓΙΣΜΟΙ!BO32,pin!$V$114:$V$132,0),MATCH(ΥΠΟΛΟΓΙΣΜΟΙ!AW32,pin!$X$113:$AN$113,0))-INDEX(pin!$X$114:$AN$132,MATCH(ΥΠΟΛΟΓΙΣΜΟΙ!BP32,pin!$V$114:$V$132,0),MATCH(ΥΠΟΛΟΓΙΣΜΟΙ!AW32,pin!$X$113:$AN$113,0)))</f>
        <v>1</v>
      </c>
      <c r="BT32" s="492">
        <f>INDEX(pin!$X$114:$AN$132,MATCH(ΥΠΟΛΟΓΙΣΜΟΙ!BO32,pin!$V$114:$V$132,0),MATCH(ΥΠΟΛΟΓΙΣΜΟΙ!AX32,pin!$X$113:$AN$113,0))+0.2*(BO32-AH32)*(INDEX(pin!$X$114:$AN$132,MATCH(ΥΠΟΛΟΓΙΣΜΟΙ!BO32,pin!$V$114:$V$132,0),MATCH(ΥΠΟΛΟΓΙΣΜΟΙ!AX32,pin!$X$113:$AN$113,0))-INDEX(pin!$X$114:$AN$132,MATCH(ΥΠΟΛΟΓΙΣΜΟΙ!BP32,pin!$V$114:$V$132,0),MATCH(ΥΠΟΛΟΓΙΣΜΟΙ!AX32,pin!$X$113:$AN$113,0)))</f>
        <v>1</v>
      </c>
      <c r="BU32" s="493">
        <f t="shared" si="91"/>
        <v>0</v>
      </c>
      <c r="BV32" s="491">
        <f t="shared" si="92"/>
        <v>0</v>
      </c>
      <c r="BW32" s="491">
        <f>INDEX(pin!$D$90:$T$108,MATCH(ΥΠΟΛΟΓΙΣΜΟΙ!BU32,pin!$B$90:$B$108,0),MATCH(ΥΠΟΛΟΓΙΣΜΟΙ!AW32,pin!$D$89:$T$89,0))+0.2*(BU32-AI32)*(INDEX(pin!$D$90:$T$108,MATCH(ΥΠΟΛΟΓΙΣΜΟΙ!BU32,pin!$B$90:$B$108,0),MATCH(ΥΠΟΛΟΓΙΣΜΟΙ!AW32,pin!$D$89:$T$89,0))-INDEX(pin!$D$90:$T$108,MATCH(ΥΠΟΛΟΓΙΣΜΟΙ!BV32,pin!$B$90:$B$108,0),MATCH(ΥΠΟΛΟΓΙΣΜΟΙ!AW32,pin!$D$89:$T$89,0)))</f>
        <v>1</v>
      </c>
      <c r="BX32" s="492">
        <f>INDEX(pin!$D$90:$T$108,MATCH(ΥΠΟΛΟΓΙΣΜΟΙ!BU32,pin!$B$90:$B$108,0),MATCH(ΥΠΟΛΟΓΙΣΜΟΙ!AX32,pin!$D$89:$T$89,0))+0.2*(BU32-AI32)*(INDEX(pin!$D$90:$T$108,MATCH(ΥΠΟΛΟΓΙΣΜΟΙ!BU32,pin!$B$90:$B$108,0),MATCH(ΥΠΟΛΟΓΙΣΜΟΙ!AX32,pin!$D$89:$T$89,0))-INDEX(pin!$D$90:$T$108,MATCH(ΥΠΟΛΟΓΙΣΜΟΙ!BV32,pin!$B$90:$B$108,0),MATCH(ΥΠΟΛΟΓΙΣΜΟΙ!AX32,pin!$D$89:$T$89,0)))</f>
        <v>1</v>
      </c>
      <c r="BY32" s="491">
        <f>INDEX(pin!$X$90:$AN$108,MATCH(ΥΠΟΛΟΓΙΣΜΟΙ!BU32,pin!$V$90:$V$108,0),MATCH(ΥΠΟΛΟΓΙΣΜΟΙ!AW32,pin!$X$89:$AN$89,0))+0.2*(BU32-AI32)*(INDEX(pin!$X$90:$AN$108,MATCH(ΥΠΟΛΟΓΙΣΜΟΙ!BU32,pin!$V$90:$V$108,0),MATCH(ΥΠΟΛΟΓΙΣΜΟΙ!AW32,pin!$X$89:$AN$89,0))-INDEX(pin!$X$90:$AN$108,MATCH(ΥΠΟΛΟΓΙΣΜΟΙ!BV32,pin!$V$90:$V$108,0),MATCH(ΥΠΟΛΟΓΙΣΜΟΙ!AW32,pin!$X$89:$AN$89,0)))</f>
        <v>1</v>
      </c>
      <c r="BZ32" s="492">
        <f>INDEX(pin!$X$90:$AN$108,MATCH(ΥΠΟΛΟΓΙΣΜΟΙ!BU32,pin!$V$90:$V$108,0),MATCH(ΥΠΟΛΟΓΙΣΜΟΙ!AX32,pin!$X$89:$AN$89,0))+0.2*(BU32-AI32)*(INDEX(pin!$X$90:$AN$108,MATCH(ΥΠΟΛΟΓΙΣΜΟΙ!BU32,pin!$V$90:$V$108,0),MATCH(ΥΠΟΛΟΓΙΣΜΟΙ!AX32,pin!$X$89:$AN$89,0))-INDEX(pin!$X$90:$AN$108,MATCH(ΥΠΟΛΟΓΙΣΜΟΙ!BV32,pin!$V$90:$V$108,0),MATCH(ΥΠΟΛΟΓΙΣΜΟΙ!AX32,pin!$X$89:$AN$89,0)))</f>
        <v>1</v>
      </c>
      <c r="CA32" s="191"/>
    </row>
    <row r="33" spans="1:119">
      <c r="A33" s="490">
        <v>17</v>
      </c>
      <c r="B33" s="118"/>
      <c r="C33" s="116"/>
      <c r="D33" s="116"/>
      <c r="E33" s="47" t="str">
        <f t="shared" si="62"/>
        <v>-</v>
      </c>
      <c r="F33" s="116"/>
      <c r="G33" s="239" t="str">
        <f t="shared" si="63"/>
        <v>-</v>
      </c>
      <c r="H33" s="240"/>
      <c r="I33" s="116"/>
      <c r="J33" s="116"/>
      <c r="K33" s="236" t="str">
        <f t="shared" si="64"/>
        <v>-</v>
      </c>
      <c r="L33" s="235"/>
      <c r="M33" s="235"/>
      <c r="N33" s="529" t="s">
        <v>671</v>
      </c>
      <c r="O33" s="46">
        <f t="shared" si="65"/>
        <v>1</v>
      </c>
      <c r="P33" s="120">
        <f t="shared" si="66"/>
        <v>1</v>
      </c>
      <c r="Q33" s="46">
        <f t="shared" si="67"/>
        <v>1</v>
      </c>
      <c r="R33" s="120">
        <f t="shared" si="68"/>
        <v>1</v>
      </c>
      <c r="S33" s="46">
        <f t="shared" si="69"/>
        <v>1</v>
      </c>
      <c r="T33" s="120">
        <f t="shared" si="70"/>
        <v>1</v>
      </c>
      <c r="U33" s="499"/>
      <c r="V33" s="122"/>
      <c r="W33" s="116"/>
      <c r="X33" s="117"/>
      <c r="Y33" s="163"/>
      <c r="Z33" s="122"/>
      <c r="AA33" s="116"/>
      <c r="AB33" s="116"/>
      <c r="AC33" s="499"/>
      <c r="AD33" s="117"/>
      <c r="AE33" s="204">
        <f t="shared" si="71"/>
        <v>0</v>
      </c>
      <c r="AF33" s="180">
        <f t="shared" si="72"/>
        <v>0</v>
      </c>
      <c r="AG33" s="180">
        <f t="shared" si="73"/>
        <v>0</v>
      </c>
      <c r="AH33" s="180">
        <f t="shared" si="74"/>
        <v>0</v>
      </c>
      <c r="AI33" s="180">
        <f t="shared" si="75"/>
        <v>0</v>
      </c>
      <c r="AJ33" s="494">
        <f t="shared" si="76"/>
        <v>1</v>
      </c>
      <c r="AK33" s="494">
        <f t="shared" si="77"/>
        <v>1</v>
      </c>
      <c r="AL33" s="494">
        <f t="shared" si="78"/>
        <v>1</v>
      </c>
      <c r="AM33" s="494">
        <f t="shared" si="79"/>
        <v>1</v>
      </c>
      <c r="AN33" s="493">
        <f t="shared" si="80"/>
        <v>0</v>
      </c>
      <c r="AO33" s="491"/>
      <c r="AP33" s="491"/>
      <c r="AQ33" s="491"/>
      <c r="AR33" s="491"/>
      <c r="AS33" s="491"/>
      <c r="AT33" s="491"/>
      <c r="AU33" s="491"/>
      <c r="AV33" s="491" t="s">
        <v>256</v>
      </c>
      <c r="AW33" s="491">
        <f t="shared" si="81"/>
        <v>0</v>
      </c>
      <c r="AX33" s="492">
        <f t="shared" si="82"/>
        <v>0</v>
      </c>
      <c r="AY33" s="493">
        <f t="shared" si="83"/>
        <v>0</v>
      </c>
      <c r="AZ33" s="491">
        <f t="shared" si="84"/>
        <v>0</v>
      </c>
      <c r="BA33" s="491">
        <f>INDEX(pin!$D$6:$T$42,MATCH(ΥΠΟΛΟΓΙΣΜΟΙ!AY33,pin!$B$6:$B$42,0),MATCH(ΥΠΟΛΟΓΙΣΜΟΙ!AW33,pin!$D$5:$T$5,0))+0.4*(AY33-AE33)*(INDEX(pin!$D$6:$T$42,MATCH(ΥΠΟΛΟΓΙΣΜΟΙ!AY33,pin!$B$6:$B$42,0),MATCH(ΥΠΟΛΟΓΙΣΜΟΙ!AW33,pin!$D$5:$T$5,0))-INDEX(pin!$D$6:$T$42,MATCH(ΥΠΟΛΟΓΙΣΜΟΙ!AZ33,pin!$B$6:$B$42,0),MATCH(ΥΠΟΛΟΓΙΣΜΟΙ!AW33,pin!$D$5:$T$5,0)))</f>
        <v>1</v>
      </c>
      <c r="BB33" s="492">
        <f>INDEX(pin!$D$6:$T$42,MATCH(ΥΠΟΛΟΓΙΣΜΟΙ!AY33,pin!$B$6:$B$42,0),MATCH(ΥΠΟΛΟΓΙΣΜΟΙ!AX33,pin!$D$5:$T$5,0))+0.4*(AY33-AE33)*(INDEX(pin!$D$6:$T$42,MATCH(ΥΠΟΛΟΓΙΣΜΟΙ!AY33,pin!$B$6:$B$42,0),MATCH(ΥΠΟΛΟΓΙΣΜΟΙ!AX33,pin!$D$5:$T$5,0))-INDEX(pin!$D$6:$T$42,MATCH(ΥΠΟΛΟΓΙΣΜΟΙ!AZ33,pin!$B$6:$B$42,0),MATCH(ΥΠΟΛΟΓΙΣΜΟΙ!AX33,pin!$D$5:$T$5,0)))</f>
        <v>1</v>
      </c>
      <c r="BC33" s="491">
        <f>INDEX(pin!$X$6:$AN$42,MATCH(ΥΠΟΛΟΓΙΣΜΟΙ!AY33,pin!$V$6:$V$42,0),MATCH(ΥΠΟΛΟΓΙΣΜΟΙ!AW33,pin!$X$5:$AN$5,0))+0.4*(AY33-AE33)*(INDEX(pin!$X$6:$AN$42,MATCH(ΥΠΟΛΟΓΙΣΜΟΙ!AY33,pin!$V$6:$V$42,0),MATCH(ΥΠΟΛΟΓΙΣΜΟΙ!AW33,pin!$X$5:$AN$5,0))-INDEX(pin!$X$6:$AN$42,MATCH(ΥΠΟΛΟΓΙΣΜΟΙ!AZ33,pin!$V$6:$V$42,0),MATCH(ΥΠΟΛΟΓΙΣΜΟΙ!AW33,pin!$X$5:$AN$5,0)))</f>
        <v>1</v>
      </c>
      <c r="BD33" s="491">
        <f>INDEX(pin!$X$6:$AN$42,MATCH(ΥΠΟΛΟΓΙΣΜΟΙ!AY33,pin!$V$6:$V$42,0),MATCH(ΥΠΟΛΟΓΙΣΜΟΙ!AX33,pin!$X$5:$AN$5,0))+0.4*(AY33-AE33)*(INDEX(pin!$X$6:$AN$42,MATCH(ΥΠΟΛΟΓΙΣΜΟΙ!AY33,pin!$V$6:$V$42,0),MATCH(ΥΠΟΛΟΓΙΣΜΟΙ!AX33,pin!$X$5:$AN$5,0))-INDEX(pin!$X$6:$AN$42,MATCH(ΥΠΟΛΟΓΙΣΜΟΙ!AZ33,pin!$V$6:$V$42,0),MATCH(ΥΠΟΛΟΓΙΣΜΟΙ!AX33,pin!$X$5:$AN$5,0)))</f>
        <v>1</v>
      </c>
      <c r="BE33" s="493">
        <f t="shared" si="85"/>
        <v>0</v>
      </c>
      <c r="BF33" s="491">
        <f t="shared" si="86"/>
        <v>0</v>
      </c>
      <c r="BG33" s="491">
        <f>INDEX(pin!$D$48:$T$84,MATCH(ΥΠΟΛΟΓΙΣΜΟΙ!BE33,pin!$B$48:$B$84,0),MATCH(ΥΠΟΛΟΓΙΣΜΟΙ!AW33,pin!$D$47:$T$47,0))+0.4*(BE33-AF33)*(INDEX(pin!$D$48:$T$84,MATCH(ΥΠΟΛΟΓΙΣΜΟΙ!BE33,pin!$B$48:$B$84,0),MATCH(ΥΠΟΛΟΓΙΣΜΟΙ!AW33,pin!$D$47:$T$47,0))-INDEX(pin!$D$48:$T$84,MATCH(ΥΠΟΛΟΓΙΣΜΟΙ!BF33,pin!$B$48:$B$84,0),MATCH(ΥΠΟΛΟΓΙΣΜΟΙ!AW33,pin!$D$47:$T$47,0)))</f>
        <v>1</v>
      </c>
      <c r="BH33" s="491">
        <f>INDEX(pin!$D$48:$T$84,MATCH(ΥΠΟΛΟΓΙΣΜΟΙ!BE33,pin!$B$48:$B$84,0),MATCH(ΥΠΟΛΟΓΙΣΜΟΙ!AX33,pin!$D$47:$T$47,0))+0.4*(BE33-AF33)*(INDEX(pin!$D$48:$T$84,MATCH(ΥΠΟΛΟΓΙΣΜΟΙ!BE33,pin!$B$48:$B$84,0),MATCH(ΥΠΟΛΟΓΙΣΜΟΙ!AX33,pin!$D$47:$T$47,0))-INDEX(pin!$D$48:$T$84,MATCH(ΥΠΟΛΟΓΙΣΜΟΙ!BF33,pin!$B$48:$B$84,0),MATCH(ΥΠΟΛΟΓΙΣΜΟΙ!AX33,pin!$D$47:$T$47,0)))</f>
        <v>1</v>
      </c>
      <c r="BI33" s="493">
        <f>INDEX(pin!$X$48:$AN$84,MATCH(ΥΠΟΛΟΓΙΣΜΟΙ!BE33,pin!$V$48:$V$84,0),MATCH(ΥΠΟΛΟΓΙΣΜΟΙ!AW33,pin!$X$47:$AN$47,0))+0.4*(BE33-AF33)*(INDEX(pin!$X$48:$AN$84,MATCH(ΥΠΟΛΟΓΙΣΜΟΙ!BE33,pin!$V$48:$V$84,0),MATCH(ΥΠΟΛΟΓΙΣΜΟΙ!AW33,pin!$X$47:$AN$47,0))-INDEX(pin!$X$48:$AN$84,MATCH(ΥΠΟΛΟΓΙΣΜΟΙ!BF33,pin!$V$48:$V$84,0),MATCH(ΥΠΟΛΟΓΙΣΜΟΙ!AW33,pin!$X$47:$AN$47,0)))</f>
        <v>1</v>
      </c>
      <c r="BJ33" s="492">
        <f>INDEX(pin!$X$48:$AN$84,MATCH(ΥΠΟΛΟΓΙΣΜΟΙ!BE33,pin!$V$48:$V$84,0),MATCH(ΥΠΟΛΟΓΙΣΜΟΙ!AX33,pin!$X$47:$AN$47,0))+0.4*(BE33-AF33)*(INDEX(pin!$X$48:$AN$84,MATCH(ΥΠΟΛΟΓΙΣΜΟΙ!BE33,pin!$V$48:$V$84,0),MATCH(ΥΠΟΛΟΓΙΣΜΟΙ!AX33,pin!$X$47:$AN$47,0))-INDEX(pin!$X$48:$AN$84,MATCH(ΥΠΟΛΟΓΙΣΜΟΙ!BF33,pin!$V$48:$V$84,0),MATCH(ΥΠΟΛΟΓΙΣΜΟΙ!AX33,pin!$X$47:$AN$47,0)))</f>
        <v>1</v>
      </c>
      <c r="BK33" s="493">
        <f t="shared" si="87"/>
        <v>0</v>
      </c>
      <c r="BL33" s="491">
        <f t="shared" si="88"/>
        <v>0</v>
      </c>
      <c r="BM33" s="491">
        <f>INDEX(pin!$X$48:$AN$84,MATCH(ΥΠΟΛΟΓΙΣΜΟΙ!BK33,pin!$V$48:$V$84,0),MATCH(ΥΠΟΛΟΓΙΣΜΟΙ!AW33,pin!$X$47:$AN$47,0))+0.4*(BK33-AG33)*(INDEX(pin!$X$48:$AN$84,MATCH(ΥΠΟΛΟΓΙΣΜΟΙ!BK33,pin!$V$48:$V$84,0),MATCH(ΥΠΟΛΟΓΙΣΜΟΙ!AW33,pin!$X$47:$AN$47,0))-INDEX(pin!$X$48:$AN$84,MATCH(ΥΠΟΛΟΓΙΣΜΟΙ!BL33,pin!$V$48:$V$84,0),MATCH(ΥΠΟΛΟΓΙΣΜΟΙ!AW33,pin!$X$47:$AN$47,0)))</f>
        <v>1</v>
      </c>
      <c r="BN33" s="492">
        <f>INDEX(pin!$X$48:$AN$84,MATCH(ΥΠΟΛΟΓΙΣΜΟΙ!BK33,pin!$V$48:$V$84,0),MATCH(ΥΠΟΛΟΓΙΣΜΟΙ!AX33,pin!$X$47:$AN$47,0))+0.4*(BK33-AG33)*(INDEX(pin!$X$48:$AN$84,MATCH(ΥΠΟΛΟΓΙΣΜΟΙ!BK33,pin!$V$48:$V$84,0),MATCH(ΥΠΟΛΟΓΙΣΜΟΙ!AX33,pin!$X$47:$AN$47,0))-INDEX(pin!$X$48:$AN$84,MATCH(ΥΠΟΛΟΓΙΣΜΟΙ!BL33,pin!$V$48:$V$84,0),MATCH(ΥΠΟΛΟΓΙΣΜΟΙ!AX33,pin!$X$47:$AN$47,0)))</f>
        <v>1</v>
      </c>
      <c r="BO33" s="493">
        <f t="shared" si="89"/>
        <v>0</v>
      </c>
      <c r="BP33" s="491">
        <f t="shared" si="90"/>
        <v>0</v>
      </c>
      <c r="BQ33" s="491">
        <f>INDEX(pin!$D$114:$T$132,MATCH(ΥΠΟΛΟΓΙΣΜΟΙ!BO33,pin!$B$114:$B$132,0),MATCH(ΥΠΟΛΟΓΙΣΜΟΙ!AW33,pin!$D$113:$T$113,0))+0.2*(BO33-AH33)*(INDEX(pin!$D$114:$T$132,MATCH(ΥΠΟΛΟΓΙΣΜΟΙ!BO33,pin!$B$114:$B$132,0),MATCH(ΥΠΟΛΟΓΙΣΜΟΙ!AW33,pin!$D$113:$T$113,0))-INDEX(pin!$D$114:$T$132,MATCH(ΥΠΟΛΟΓΙΣΜΟΙ!BP33,pin!$B$114:$B$132,0),MATCH(ΥΠΟΛΟΓΙΣΜΟΙ!AW33,pin!$D$113:$T$113,0)))</f>
        <v>1</v>
      </c>
      <c r="BR33" s="491">
        <f>INDEX(pin!$D$114:$T$132,MATCH(ΥΠΟΛΟΓΙΣΜΟΙ!BO33,pin!$B$114:$B$132,0),MATCH(ΥΠΟΛΟΓΙΣΜΟΙ!AX33,pin!$D$113:$T$113,0))+0.2*(BO33-AH33)*(INDEX(pin!$D$114:$T$132,MATCH(ΥΠΟΛΟΓΙΣΜΟΙ!BO33,pin!$B$114:$B$132,0),MATCH(ΥΠΟΛΟΓΙΣΜΟΙ!AX33,pin!$D$113:$T$113,0))-INDEX(pin!$D$114:$T$132,MATCH(ΥΠΟΛΟΓΙΣΜΟΙ!BP33,pin!$B$114:$B$132,0),MATCH(ΥΠΟΛΟΓΙΣΜΟΙ!AX33,pin!$D$113:$T$113,0)))</f>
        <v>1</v>
      </c>
      <c r="BS33" s="493">
        <f>INDEX(pin!$X$114:$AN$132,MATCH(ΥΠΟΛΟΓΙΣΜΟΙ!BO33,pin!$V$114:$V$132,0),MATCH(ΥΠΟΛΟΓΙΣΜΟΙ!AW33,pin!$X$113:$AN$113,0))+0.2*(BO33-AH33)*(INDEX(pin!$X$114:$AN$132,MATCH(ΥΠΟΛΟΓΙΣΜΟΙ!BO33,pin!$V$114:$V$132,0),MATCH(ΥΠΟΛΟΓΙΣΜΟΙ!AW33,pin!$X$113:$AN$113,0))-INDEX(pin!$X$114:$AN$132,MATCH(ΥΠΟΛΟΓΙΣΜΟΙ!BP33,pin!$V$114:$V$132,0),MATCH(ΥΠΟΛΟΓΙΣΜΟΙ!AW33,pin!$X$113:$AN$113,0)))</f>
        <v>1</v>
      </c>
      <c r="BT33" s="492">
        <f>INDEX(pin!$X$114:$AN$132,MATCH(ΥΠΟΛΟΓΙΣΜΟΙ!BO33,pin!$V$114:$V$132,0),MATCH(ΥΠΟΛΟΓΙΣΜΟΙ!AX33,pin!$X$113:$AN$113,0))+0.2*(BO33-AH33)*(INDEX(pin!$X$114:$AN$132,MATCH(ΥΠΟΛΟΓΙΣΜΟΙ!BO33,pin!$V$114:$V$132,0),MATCH(ΥΠΟΛΟΓΙΣΜΟΙ!AX33,pin!$X$113:$AN$113,0))-INDEX(pin!$X$114:$AN$132,MATCH(ΥΠΟΛΟΓΙΣΜΟΙ!BP33,pin!$V$114:$V$132,0),MATCH(ΥΠΟΛΟΓΙΣΜΟΙ!AX33,pin!$X$113:$AN$113,0)))</f>
        <v>1</v>
      </c>
      <c r="BU33" s="493">
        <f t="shared" si="91"/>
        <v>0</v>
      </c>
      <c r="BV33" s="491">
        <f t="shared" si="92"/>
        <v>0</v>
      </c>
      <c r="BW33" s="491">
        <f>INDEX(pin!$D$90:$T$108,MATCH(ΥΠΟΛΟΓΙΣΜΟΙ!BU33,pin!$B$90:$B$108,0),MATCH(ΥΠΟΛΟΓΙΣΜΟΙ!AW33,pin!$D$89:$T$89,0))+0.2*(BU33-AI33)*(INDEX(pin!$D$90:$T$108,MATCH(ΥΠΟΛΟΓΙΣΜΟΙ!BU33,pin!$B$90:$B$108,0),MATCH(ΥΠΟΛΟΓΙΣΜΟΙ!AW33,pin!$D$89:$T$89,0))-INDEX(pin!$D$90:$T$108,MATCH(ΥΠΟΛΟΓΙΣΜΟΙ!BV33,pin!$B$90:$B$108,0),MATCH(ΥΠΟΛΟΓΙΣΜΟΙ!AW33,pin!$D$89:$T$89,0)))</f>
        <v>1</v>
      </c>
      <c r="BX33" s="492">
        <f>INDEX(pin!$D$90:$T$108,MATCH(ΥΠΟΛΟΓΙΣΜΟΙ!BU33,pin!$B$90:$B$108,0),MATCH(ΥΠΟΛΟΓΙΣΜΟΙ!AX33,pin!$D$89:$T$89,0))+0.2*(BU33-AI33)*(INDEX(pin!$D$90:$T$108,MATCH(ΥΠΟΛΟΓΙΣΜΟΙ!BU33,pin!$B$90:$B$108,0),MATCH(ΥΠΟΛΟΓΙΣΜΟΙ!AX33,pin!$D$89:$T$89,0))-INDEX(pin!$D$90:$T$108,MATCH(ΥΠΟΛΟΓΙΣΜΟΙ!BV33,pin!$B$90:$B$108,0),MATCH(ΥΠΟΛΟΓΙΣΜΟΙ!AX33,pin!$D$89:$T$89,0)))</f>
        <v>1</v>
      </c>
      <c r="BY33" s="491">
        <f>INDEX(pin!$X$90:$AN$108,MATCH(ΥΠΟΛΟΓΙΣΜΟΙ!BU33,pin!$V$90:$V$108,0),MATCH(ΥΠΟΛΟΓΙΣΜΟΙ!AW33,pin!$X$89:$AN$89,0))+0.2*(BU33-AI33)*(INDEX(pin!$X$90:$AN$108,MATCH(ΥΠΟΛΟΓΙΣΜΟΙ!BU33,pin!$V$90:$V$108,0),MATCH(ΥΠΟΛΟΓΙΣΜΟΙ!AW33,pin!$X$89:$AN$89,0))-INDEX(pin!$X$90:$AN$108,MATCH(ΥΠΟΛΟΓΙΣΜΟΙ!BV33,pin!$V$90:$V$108,0),MATCH(ΥΠΟΛΟΓΙΣΜΟΙ!AW33,pin!$X$89:$AN$89,0)))</f>
        <v>1</v>
      </c>
      <c r="BZ33" s="492">
        <f>INDEX(pin!$X$90:$AN$108,MATCH(ΥΠΟΛΟΓΙΣΜΟΙ!BU33,pin!$V$90:$V$108,0),MATCH(ΥΠΟΛΟΓΙΣΜΟΙ!AX33,pin!$X$89:$AN$89,0))+0.2*(BU33-AI33)*(INDEX(pin!$X$90:$AN$108,MATCH(ΥΠΟΛΟΓΙΣΜΟΙ!BU33,pin!$V$90:$V$108,0),MATCH(ΥΠΟΛΟΓΙΣΜΟΙ!AX33,pin!$X$89:$AN$89,0))-INDEX(pin!$X$90:$AN$108,MATCH(ΥΠΟΛΟΓΙΣΜΟΙ!BV33,pin!$V$90:$V$108,0),MATCH(ΥΠΟΛΟΓΙΣΜΟΙ!AX33,pin!$X$89:$AN$89,0)))</f>
        <v>1</v>
      </c>
      <c r="CA33" s="191"/>
    </row>
    <row r="34" spans="1:119">
      <c r="A34" s="490">
        <v>18</v>
      </c>
      <c r="B34" s="118"/>
      <c r="C34" s="116"/>
      <c r="D34" s="116"/>
      <c r="E34" s="47" t="str">
        <f t="shared" si="62"/>
        <v>-</v>
      </c>
      <c r="F34" s="116"/>
      <c r="G34" s="239" t="str">
        <f t="shared" si="63"/>
        <v>-</v>
      </c>
      <c r="H34" s="240"/>
      <c r="I34" s="116"/>
      <c r="J34" s="116"/>
      <c r="K34" s="236" t="str">
        <f t="shared" si="64"/>
        <v>-</v>
      </c>
      <c r="L34" s="235"/>
      <c r="M34" s="235"/>
      <c r="N34" s="529" t="s">
        <v>671</v>
      </c>
      <c r="O34" s="46">
        <f t="shared" si="65"/>
        <v>1</v>
      </c>
      <c r="P34" s="120">
        <f t="shared" si="66"/>
        <v>1</v>
      </c>
      <c r="Q34" s="46">
        <f t="shared" si="67"/>
        <v>1</v>
      </c>
      <c r="R34" s="120">
        <f t="shared" si="68"/>
        <v>1</v>
      </c>
      <c r="S34" s="46">
        <f t="shared" si="69"/>
        <v>1</v>
      </c>
      <c r="T34" s="120">
        <f t="shared" si="70"/>
        <v>1</v>
      </c>
      <c r="U34" s="499"/>
      <c r="V34" s="122"/>
      <c r="W34" s="116"/>
      <c r="X34" s="117"/>
      <c r="Y34" s="163"/>
      <c r="Z34" s="122"/>
      <c r="AA34" s="116"/>
      <c r="AB34" s="116"/>
      <c r="AC34" s="499"/>
      <c r="AD34" s="117"/>
      <c r="AE34" s="204">
        <f t="shared" si="71"/>
        <v>0</v>
      </c>
      <c r="AF34" s="180">
        <f t="shared" si="72"/>
        <v>0</v>
      </c>
      <c r="AG34" s="180">
        <f t="shared" si="73"/>
        <v>0</v>
      </c>
      <c r="AH34" s="180">
        <f t="shared" si="74"/>
        <v>0</v>
      </c>
      <c r="AI34" s="180">
        <f t="shared" si="75"/>
        <v>0</v>
      </c>
      <c r="AJ34" s="494">
        <f t="shared" si="76"/>
        <v>1</v>
      </c>
      <c r="AK34" s="494">
        <f t="shared" si="77"/>
        <v>1</v>
      </c>
      <c r="AL34" s="494">
        <f t="shared" si="78"/>
        <v>1</v>
      </c>
      <c r="AM34" s="494">
        <f t="shared" si="79"/>
        <v>1</v>
      </c>
      <c r="AN34" s="493">
        <f t="shared" si="80"/>
        <v>0</v>
      </c>
      <c r="AO34" s="491"/>
      <c r="AP34" s="491"/>
      <c r="AQ34" s="491"/>
      <c r="AR34" s="491"/>
      <c r="AS34" s="491"/>
      <c r="AT34" s="491"/>
      <c r="AU34" s="491"/>
      <c r="AV34" s="491" t="s">
        <v>256</v>
      </c>
      <c r="AW34" s="491">
        <f t="shared" si="81"/>
        <v>0</v>
      </c>
      <c r="AX34" s="492">
        <f t="shared" si="82"/>
        <v>0</v>
      </c>
      <c r="AY34" s="493">
        <f t="shared" si="83"/>
        <v>0</v>
      </c>
      <c r="AZ34" s="491">
        <f t="shared" si="84"/>
        <v>0</v>
      </c>
      <c r="BA34" s="491">
        <f>INDEX(pin!$D$6:$T$42,MATCH(ΥΠΟΛΟΓΙΣΜΟΙ!AY34,pin!$B$6:$B$42,0),MATCH(ΥΠΟΛΟΓΙΣΜΟΙ!AW34,pin!$D$5:$T$5,0))+0.4*(AY34-AE34)*(INDEX(pin!$D$6:$T$42,MATCH(ΥΠΟΛΟΓΙΣΜΟΙ!AY34,pin!$B$6:$B$42,0),MATCH(ΥΠΟΛΟΓΙΣΜΟΙ!AW34,pin!$D$5:$T$5,0))-INDEX(pin!$D$6:$T$42,MATCH(ΥΠΟΛΟΓΙΣΜΟΙ!AZ34,pin!$B$6:$B$42,0),MATCH(ΥΠΟΛΟΓΙΣΜΟΙ!AW34,pin!$D$5:$T$5,0)))</f>
        <v>1</v>
      </c>
      <c r="BB34" s="492">
        <f>INDEX(pin!$D$6:$T$42,MATCH(ΥΠΟΛΟΓΙΣΜΟΙ!AY34,pin!$B$6:$B$42,0),MATCH(ΥΠΟΛΟΓΙΣΜΟΙ!AX34,pin!$D$5:$T$5,0))+0.4*(AY34-AE34)*(INDEX(pin!$D$6:$T$42,MATCH(ΥΠΟΛΟΓΙΣΜΟΙ!AY34,pin!$B$6:$B$42,0),MATCH(ΥΠΟΛΟΓΙΣΜΟΙ!AX34,pin!$D$5:$T$5,0))-INDEX(pin!$D$6:$T$42,MATCH(ΥΠΟΛΟΓΙΣΜΟΙ!AZ34,pin!$B$6:$B$42,0),MATCH(ΥΠΟΛΟΓΙΣΜΟΙ!AX34,pin!$D$5:$T$5,0)))</f>
        <v>1</v>
      </c>
      <c r="BC34" s="491">
        <f>INDEX(pin!$X$6:$AN$42,MATCH(ΥΠΟΛΟΓΙΣΜΟΙ!AY34,pin!$V$6:$V$42,0),MATCH(ΥΠΟΛΟΓΙΣΜΟΙ!AW34,pin!$X$5:$AN$5,0))+0.4*(AY34-AE34)*(INDEX(pin!$X$6:$AN$42,MATCH(ΥΠΟΛΟΓΙΣΜΟΙ!AY34,pin!$V$6:$V$42,0),MATCH(ΥΠΟΛΟΓΙΣΜΟΙ!AW34,pin!$X$5:$AN$5,0))-INDEX(pin!$X$6:$AN$42,MATCH(ΥΠΟΛΟΓΙΣΜΟΙ!AZ34,pin!$V$6:$V$42,0),MATCH(ΥΠΟΛΟΓΙΣΜΟΙ!AW34,pin!$X$5:$AN$5,0)))</f>
        <v>1</v>
      </c>
      <c r="BD34" s="491">
        <f>INDEX(pin!$X$6:$AN$42,MATCH(ΥΠΟΛΟΓΙΣΜΟΙ!AY34,pin!$V$6:$V$42,0),MATCH(ΥΠΟΛΟΓΙΣΜΟΙ!AX34,pin!$X$5:$AN$5,0))+0.4*(AY34-AE34)*(INDEX(pin!$X$6:$AN$42,MATCH(ΥΠΟΛΟΓΙΣΜΟΙ!AY34,pin!$V$6:$V$42,0),MATCH(ΥΠΟΛΟΓΙΣΜΟΙ!AX34,pin!$X$5:$AN$5,0))-INDEX(pin!$X$6:$AN$42,MATCH(ΥΠΟΛΟΓΙΣΜΟΙ!AZ34,pin!$V$6:$V$42,0),MATCH(ΥΠΟΛΟΓΙΣΜΟΙ!AX34,pin!$X$5:$AN$5,0)))</f>
        <v>1</v>
      </c>
      <c r="BE34" s="493">
        <f t="shared" si="85"/>
        <v>0</v>
      </c>
      <c r="BF34" s="491">
        <f t="shared" si="86"/>
        <v>0</v>
      </c>
      <c r="BG34" s="491">
        <f>INDEX(pin!$D$48:$T$84,MATCH(ΥΠΟΛΟΓΙΣΜΟΙ!BE34,pin!$B$48:$B$84,0),MATCH(ΥΠΟΛΟΓΙΣΜΟΙ!AW34,pin!$D$47:$T$47,0))+0.4*(BE34-AF34)*(INDEX(pin!$D$48:$T$84,MATCH(ΥΠΟΛΟΓΙΣΜΟΙ!BE34,pin!$B$48:$B$84,0),MATCH(ΥΠΟΛΟΓΙΣΜΟΙ!AW34,pin!$D$47:$T$47,0))-INDEX(pin!$D$48:$T$84,MATCH(ΥΠΟΛΟΓΙΣΜΟΙ!BF34,pin!$B$48:$B$84,0),MATCH(ΥΠΟΛΟΓΙΣΜΟΙ!AW34,pin!$D$47:$T$47,0)))</f>
        <v>1</v>
      </c>
      <c r="BH34" s="491">
        <f>INDEX(pin!$D$48:$T$84,MATCH(ΥΠΟΛΟΓΙΣΜΟΙ!BE34,pin!$B$48:$B$84,0),MATCH(ΥΠΟΛΟΓΙΣΜΟΙ!AX34,pin!$D$47:$T$47,0))+0.4*(BE34-AF34)*(INDEX(pin!$D$48:$T$84,MATCH(ΥΠΟΛΟΓΙΣΜΟΙ!BE34,pin!$B$48:$B$84,0),MATCH(ΥΠΟΛΟΓΙΣΜΟΙ!AX34,pin!$D$47:$T$47,0))-INDEX(pin!$D$48:$T$84,MATCH(ΥΠΟΛΟΓΙΣΜΟΙ!BF34,pin!$B$48:$B$84,0),MATCH(ΥΠΟΛΟΓΙΣΜΟΙ!AX34,pin!$D$47:$T$47,0)))</f>
        <v>1</v>
      </c>
      <c r="BI34" s="493">
        <f>INDEX(pin!$X$48:$AN$84,MATCH(ΥΠΟΛΟΓΙΣΜΟΙ!BE34,pin!$V$48:$V$84,0),MATCH(ΥΠΟΛΟΓΙΣΜΟΙ!AW34,pin!$X$47:$AN$47,0))+0.4*(BE34-AF34)*(INDEX(pin!$X$48:$AN$84,MATCH(ΥΠΟΛΟΓΙΣΜΟΙ!BE34,pin!$V$48:$V$84,0),MATCH(ΥΠΟΛΟΓΙΣΜΟΙ!AW34,pin!$X$47:$AN$47,0))-INDEX(pin!$X$48:$AN$84,MATCH(ΥΠΟΛΟΓΙΣΜΟΙ!BF34,pin!$V$48:$V$84,0),MATCH(ΥΠΟΛΟΓΙΣΜΟΙ!AW34,pin!$X$47:$AN$47,0)))</f>
        <v>1</v>
      </c>
      <c r="BJ34" s="492">
        <f>INDEX(pin!$X$48:$AN$84,MATCH(ΥΠΟΛΟΓΙΣΜΟΙ!BE34,pin!$V$48:$V$84,0),MATCH(ΥΠΟΛΟΓΙΣΜΟΙ!AX34,pin!$X$47:$AN$47,0))+0.4*(BE34-AF34)*(INDEX(pin!$X$48:$AN$84,MATCH(ΥΠΟΛΟΓΙΣΜΟΙ!BE34,pin!$V$48:$V$84,0),MATCH(ΥΠΟΛΟΓΙΣΜΟΙ!AX34,pin!$X$47:$AN$47,0))-INDEX(pin!$X$48:$AN$84,MATCH(ΥΠΟΛΟΓΙΣΜΟΙ!BF34,pin!$V$48:$V$84,0),MATCH(ΥΠΟΛΟΓΙΣΜΟΙ!AX34,pin!$X$47:$AN$47,0)))</f>
        <v>1</v>
      </c>
      <c r="BK34" s="493">
        <f t="shared" si="87"/>
        <v>0</v>
      </c>
      <c r="BL34" s="491">
        <f t="shared" si="88"/>
        <v>0</v>
      </c>
      <c r="BM34" s="491">
        <f>INDEX(pin!$X$48:$AN$84,MATCH(ΥΠΟΛΟΓΙΣΜΟΙ!BK34,pin!$V$48:$V$84,0),MATCH(ΥΠΟΛΟΓΙΣΜΟΙ!AW34,pin!$X$47:$AN$47,0))+0.4*(BK34-AG34)*(INDEX(pin!$X$48:$AN$84,MATCH(ΥΠΟΛΟΓΙΣΜΟΙ!BK34,pin!$V$48:$V$84,0),MATCH(ΥΠΟΛΟΓΙΣΜΟΙ!AW34,pin!$X$47:$AN$47,0))-INDEX(pin!$X$48:$AN$84,MATCH(ΥΠΟΛΟΓΙΣΜΟΙ!BL34,pin!$V$48:$V$84,0),MATCH(ΥΠΟΛΟΓΙΣΜΟΙ!AW34,pin!$X$47:$AN$47,0)))</f>
        <v>1</v>
      </c>
      <c r="BN34" s="492">
        <f>INDEX(pin!$X$48:$AN$84,MATCH(ΥΠΟΛΟΓΙΣΜΟΙ!BK34,pin!$V$48:$V$84,0),MATCH(ΥΠΟΛΟΓΙΣΜΟΙ!AX34,pin!$X$47:$AN$47,0))+0.4*(BK34-AG34)*(INDEX(pin!$X$48:$AN$84,MATCH(ΥΠΟΛΟΓΙΣΜΟΙ!BK34,pin!$V$48:$V$84,0),MATCH(ΥΠΟΛΟΓΙΣΜΟΙ!AX34,pin!$X$47:$AN$47,0))-INDEX(pin!$X$48:$AN$84,MATCH(ΥΠΟΛΟΓΙΣΜΟΙ!BL34,pin!$V$48:$V$84,0),MATCH(ΥΠΟΛΟΓΙΣΜΟΙ!AX34,pin!$X$47:$AN$47,0)))</f>
        <v>1</v>
      </c>
      <c r="BO34" s="493">
        <f t="shared" si="89"/>
        <v>0</v>
      </c>
      <c r="BP34" s="491">
        <f t="shared" si="90"/>
        <v>0</v>
      </c>
      <c r="BQ34" s="491">
        <f>INDEX(pin!$D$114:$T$132,MATCH(ΥΠΟΛΟΓΙΣΜΟΙ!BO34,pin!$B$114:$B$132,0),MATCH(ΥΠΟΛΟΓΙΣΜΟΙ!AW34,pin!$D$113:$T$113,0))+0.2*(BO34-AH34)*(INDEX(pin!$D$114:$T$132,MATCH(ΥΠΟΛΟΓΙΣΜΟΙ!BO34,pin!$B$114:$B$132,0),MATCH(ΥΠΟΛΟΓΙΣΜΟΙ!AW34,pin!$D$113:$T$113,0))-INDEX(pin!$D$114:$T$132,MATCH(ΥΠΟΛΟΓΙΣΜΟΙ!BP34,pin!$B$114:$B$132,0),MATCH(ΥΠΟΛΟΓΙΣΜΟΙ!AW34,pin!$D$113:$T$113,0)))</f>
        <v>1</v>
      </c>
      <c r="BR34" s="491">
        <f>INDEX(pin!$D$114:$T$132,MATCH(ΥΠΟΛΟΓΙΣΜΟΙ!BO34,pin!$B$114:$B$132,0),MATCH(ΥΠΟΛΟΓΙΣΜΟΙ!AX34,pin!$D$113:$T$113,0))+0.2*(BO34-AH34)*(INDEX(pin!$D$114:$T$132,MATCH(ΥΠΟΛΟΓΙΣΜΟΙ!BO34,pin!$B$114:$B$132,0),MATCH(ΥΠΟΛΟΓΙΣΜΟΙ!AX34,pin!$D$113:$T$113,0))-INDEX(pin!$D$114:$T$132,MATCH(ΥΠΟΛΟΓΙΣΜΟΙ!BP34,pin!$B$114:$B$132,0),MATCH(ΥΠΟΛΟΓΙΣΜΟΙ!AX34,pin!$D$113:$T$113,0)))</f>
        <v>1</v>
      </c>
      <c r="BS34" s="493">
        <f>INDEX(pin!$X$114:$AN$132,MATCH(ΥΠΟΛΟΓΙΣΜΟΙ!BO34,pin!$V$114:$V$132,0),MATCH(ΥΠΟΛΟΓΙΣΜΟΙ!AW34,pin!$X$113:$AN$113,0))+0.2*(BO34-AH34)*(INDEX(pin!$X$114:$AN$132,MATCH(ΥΠΟΛΟΓΙΣΜΟΙ!BO34,pin!$V$114:$V$132,0),MATCH(ΥΠΟΛΟΓΙΣΜΟΙ!AW34,pin!$X$113:$AN$113,0))-INDEX(pin!$X$114:$AN$132,MATCH(ΥΠΟΛΟΓΙΣΜΟΙ!BP34,pin!$V$114:$V$132,0),MATCH(ΥΠΟΛΟΓΙΣΜΟΙ!AW34,pin!$X$113:$AN$113,0)))</f>
        <v>1</v>
      </c>
      <c r="BT34" s="492">
        <f>INDEX(pin!$X$114:$AN$132,MATCH(ΥΠΟΛΟΓΙΣΜΟΙ!BO34,pin!$V$114:$V$132,0),MATCH(ΥΠΟΛΟΓΙΣΜΟΙ!AX34,pin!$X$113:$AN$113,0))+0.2*(BO34-AH34)*(INDEX(pin!$X$114:$AN$132,MATCH(ΥΠΟΛΟΓΙΣΜΟΙ!BO34,pin!$V$114:$V$132,0),MATCH(ΥΠΟΛΟΓΙΣΜΟΙ!AX34,pin!$X$113:$AN$113,0))-INDEX(pin!$X$114:$AN$132,MATCH(ΥΠΟΛΟΓΙΣΜΟΙ!BP34,pin!$V$114:$V$132,0),MATCH(ΥΠΟΛΟΓΙΣΜΟΙ!AX34,pin!$X$113:$AN$113,0)))</f>
        <v>1</v>
      </c>
      <c r="BU34" s="493">
        <f t="shared" si="91"/>
        <v>0</v>
      </c>
      <c r="BV34" s="491">
        <f t="shared" si="92"/>
        <v>0</v>
      </c>
      <c r="BW34" s="491">
        <f>INDEX(pin!$D$90:$T$108,MATCH(ΥΠΟΛΟΓΙΣΜΟΙ!BU34,pin!$B$90:$B$108,0),MATCH(ΥΠΟΛΟΓΙΣΜΟΙ!AW34,pin!$D$89:$T$89,0))+0.2*(BU34-AI34)*(INDEX(pin!$D$90:$T$108,MATCH(ΥΠΟΛΟΓΙΣΜΟΙ!BU34,pin!$B$90:$B$108,0),MATCH(ΥΠΟΛΟΓΙΣΜΟΙ!AW34,pin!$D$89:$T$89,0))-INDEX(pin!$D$90:$T$108,MATCH(ΥΠΟΛΟΓΙΣΜΟΙ!BV34,pin!$B$90:$B$108,0),MATCH(ΥΠΟΛΟΓΙΣΜΟΙ!AW34,pin!$D$89:$T$89,0)))</f>
        <v>1</v>
      </c>
      <c r="BX34" s="492">
        <f>INDEX(pin!$D$90:$T$108,MATCH(ΥΠΟΛΟΓΙΣΜΟΙ!BU34,pin!$B$90:$B$108,0),MATCH(ΥΠΟΛΟΓΙΣΜΟΙ!AX34,pin!$D$89:$T$89,0))+0.2*(BU34-AI34)*(INDEX(pin!$D$90:$T$108,MATCH(ΥΠΟΛΟΓΙΣΜΟΙ!BU34,pin!$B$90:$B$108,0),MATCH(ΥΠΟΛΟΓΙΣΜΟΙ!AX34,pin!$D$89:$T$89,0))-INDEX(pin!$D$90:$T$108,MATCH(ΥΠΟΛΟΓΙΣΜΟΙ!BV34,pin!$B$90:$B$108,0),MATCH(ΥΠΟΛΟΓΙΣΜΟΙ!AX34,pin!$D$89:$T$89,0)))</f>
        <v>1</v>
      </c>
      <c r="BY34" s="491">
        <f>INDEX(pin!$X$90:$AN$108,MATCH(ΥΠΟΛΟΓΙΣΜΟΙ!BU34,pin!$V$90:$V$108,0),MATCH(ΥΠΟΛΟΓΙΣΜΟΙ!AW34,pin!$X$89:$AN$89,0))+0.2*(BU34-AI34)*(INDEX(pin!$X$90:$AN$108,MATCH(ΥΠΟΛΟΓΙΣΜΟΙ!BU34,pin!$V$90:$V$108,0),MATCH(ΥΠΟΛΟΓΙΣΜΟΙ!AW34,pin!$X$89:$AN$89,0))-INDEX(pin!$X$90:$AN$108,MATCH(ΥΠΟΛΟΓΙΣΜΟΙ!BV34,pin!$V$90:$V$108,0),MATCH(ΥΠΟΛΟΓΙΣΜΟΙ!AW34,pin!$X$89:$AN$89,0)))</f>
        <v>1</v>
      </c>
      <c r="BZ34" s="492">
        <f>INDEX(pin!$X$90:$AN$108,MATCH(ΥΠΟΛΟΓΙΣΜΟΙ!BU34,pin!$V$90:$V$108,0),MATCH(ΥΠΟΛΟΓΙΣΜΟΙ!AX34,pin!$X$89:$AN$89,0))+0.2*(BU34-AI34)*(INDEX(pin!$X$90:$AN$108,MATCH(ΥΠΟΛΟΓΙΣΜΟΙ!BU34,pin!$V$90:$V$108,0),MATCH(ΥΠΟΛΟΓΙΣΜΟΙ!AX34,pin!$X$89:$AN$89,0))-INDEX(pin!$X$90:$AN$108,MATCH(ΥΠΟΛΟΓΙΣΜΟΙ!BV34,pin!$V$90:$V$108,0),MATCH(ΥΠΟΛΟΓΙΣΜΟΙ!AX34,pin!$X$89:$AN$89,0)))</f>
        <v>1</v>
      </c>
      <c r="CA34" s="191"/>
    </row>
    <row r="35" spans="1:119">
      <c r="A35" s="490">
        <v>19</v>
      </c>
      <c r="B35" s="118"/>
      <c r="C35" s="116"/>
      <c r="D35" s="116"/>
      <c r="E35" s="47" t="str">
        <f t="shared" si="62"/>
        <v>-</v>
      </c>
      <c r="F35" s="116"/>
      <c r="G35" s="239" t="str">
        <f t="shared" si="63"/>
        <v>-</v>
      </c>
      <c r="H35" s="240"/>
      <c r="I35" s="116"/>
      <c r="J35" s="116"/>
      <c r="K35" s="236" t="str">
        <f t="shared" si="64"/>
        <v>-</v>
      </c>
      <c r="L35" s="235"/>
      <c r="M35" s="235"/>
      <c r="N35" s="529" t="s">
        <v>671</v>
      </c>
      <c r="O35" s="46">
        <f t="shared" si="65"/>
        <v>1</v>
      </c>
      <c r="P35" s="120">
        <f t="shared" si="66"/>
        <v>1</v>
      </c>
      <c r="Q35" s="46">
        <f t="shared" si="67"/>
        <v>1</v>
      </c>
      <c r="R35" s="120">
        <f t="shared" si="68"/>
        <v>1</v>
      </c>
      <c r="S35" s="46">
        <f t="shared" si="69"/>
        <v>1</v>
      </c>
      <c r="T35" s="120">
        <f t="shared" si="70"/>
        <v>1</v>
      </c>
      <c r="U35" s="499"/>
      <c r="V35" s="122"/>
      <c r="W35" s="116"/>
      <c r="X35" s="117"/>
      <c r="Y35" s="163"/>
      <c r="Z35" s="122"/>
      <c r="AA35" s="116"/>
      <c r="AB35" s="116"/>
      <c r="AC35" s="499"/>
      <c r="AD35" s="117"/>
      <c r="AE35" s="204">
        <f t="shared" si="71"/>
        <v>0</v>
      </c>
      <c r="AF35" s="180">
        <f t="shared" si="72"/>
        <v>0</v>
      </c>
      <c r="AG35" s="180">
        <f t="shared" si="73"/>
        <v>0</v>
      </c>
      <c r="AH35" s="180">
        <f t="shared" si="74"/>
        <v>0</v>
      </c>
      <c r="AI35" s="180">
        <f t="shared" si="75"/>
        <v>0</v>
      </c>
      <c r="AJ35" s="494">
        <f t="shared" si="76"/>
        <v>1</v>
      </c>
      <c r="AK35" s="494">
        <f t="shared" si="77"/>
        <v>1</v>
      </c>
      <c r="AL35" s="494">
        <f t="shared" si="78"/>
        <v>1</v>
      </c>
      <c r="AM35" s="494">
        <f t="shared" si="79"/>
        <v>1</v>
      </c>
      <c r="AN35" s="493">
        <f t="shared" si="80"/>
        <v>0</v>
      </c>
      <c r="AO35" s="491"/>
      <c r="AP35" s="491"/>
      <c r="AQ35" s="491"/>
      <c r="AR35" s="491"/>
      <c r="AS35" s="491"/>
      <c r="AT35" s="491"/>
      <c r="AU35" s="491"/>
      <c r="AV35" s="491" t="s">
        <v>256</v>
      </c>
      <c r="AW35" s="491">
        <f t="shared" si="81"/>
        <v>0</v>
      </c>
      <c r="AX35" s="492">
        <f t="shared" si="82"/>
        <v>0</v>
      </c>
      <c r="AY35" s="493">
        <f t="shared" si="83"/>
        <v>0</v>
      </c>
      <c r="AZ35" s="491">
        <f t="shared" si="84"/>
        <v>0</v>
      </c>
      <c r="BA35" s="491">
        <f>INDEX(pin!$D$6:$T$42,MATCH(ΥΠΟΛΟΓΙΣΜΟΙ!AY35,pin!$B$6:$B$42,0),MATCH(ΥΠΟΛΟΓΙΣΜΟΙ!AW35,pin!$D$5:$T$5,0))+0.4*(AY35-AE35)*(INDEX(pin!$D$6:$T$42,MATCH(ΥΠΟΛΟΓΙΣΜΟΙ!AY35,pin!$B$6:$B$42,0),MATCH(ΥΠΟΛΟΓΙΣΜΟΙ!AW35,pin!$D$5:$T$5,0))-INDEX(pin!$D$6:$T$42,MATCH(ΥΠΟΛΟΓΙΣΜΟΙ!AZ35,pin!$B$6:$B$42,0),MATCH(ΥΠΟΛΟΓΙΣΜΟΙ!AW35,pin!$D$5:$T$5,0)))</f>
        <v>1</v>
      </c>
      <c r="BB35" s="492">
        <f>INDEX(pin!$D$6:$T$42,MATCH(ΥΠΟΛΟΓΙΣΜΟΙ!AY35,pin!$B$6:$B$42,0),MATCH(ΥΠΟΛΟΓΙΣΜΟΙ!AX35,pin!$D$5:$T$5,0))+0.4*(AY35-AE35)*(INDEX(pin!$D$6:$T$42,MATCH(ΥΠΟΛΟΓΙΣΜΟΙ!AY35,pin!$B$6:$B$42,0),MATCH(ΥΠΟΛΟΓΙΣΜΟΙ!AX35,pin!$D$5:$T$5,0))-INDEX(pin!$D$6:$T$42,MATCH(ΥΠΟΛΟΓΙΣΜΟΙ!AZ35,pin!$B$6:$B$42,0),MATCH(ΥΠΟΛΟΓΙΣΜΟΙ!AX35,pin!$D$5:$T$5,0)))</f>
        <v>1</v>
      </c>
      <c r="BC35" s="491">
        <f>INDEX(pin!$X$6:$AN$42,MATCH(ΥΠΟΛΟΓΙΣΜΟΙ!AY35,pin!$V$6:$V$42,0),MATCH(ΥΠΟΛΟΓΙΣΜΟΙ!AW35,pin!$X$5:$AN$5,0))+0.4*(AY35-AE35)*(INDEX(pin!$X$6:$AN$42,MATCH(ΥΠΟΛΟΓΙΣΜΟΙ!AY35,pin!$V$6:$V$42,0),MATCH(ΥΠΟΛΟΓΙΣΜΟΙ!AW35,pin!$X$5:$AN$5,0))-INDEX(pin!$X$6:$AN$42,MATCH(ΥΠΟΛΟΓΙΣΜΟΙ!AZ35,pin!$V$6:$V$42,0),MATCH(ΥΠΟΛΟΓΙΣΜΟΙ!AW35,pin!$X$5:$AN$5,0)))</f>
        <v>1</v>
      </c>
      <c r="BD35" s="491">
        <f>INDEX(pin!$X$6:$AN$42,MATCH(ΥΠΟΛΟΓΙΣΜΟΙ!AY35,pin!$V$6:$V$42,0),MATCH(ΥΠΟΛΟΓΙΣΜΟΙ!AX35,pin!$X$5:$AN$5,0))+0.4*(AY35-AE35)*(INDEX(pin!$X$6:$AN$42,MATCH(ΥΠΟΛΟΓΙΣΜΟΙ!AY35,pin!$V$6:$V$42,0),MATCH(ΥΠΟΛΟΓΙΣΜΟΙ!AX35,pin!$X$5:$AN$5,0))-INDEX(pin!$X$6:$AN$42,MATCH(ΥΠΟΛΟΓΙΣΜΟΙ!AZ35,pin!$V$6:$V$42,0),MATCH(ΥΠΟΛΟΓΙΣΜΟΙ!AX35,pin!$X$5:$AN$5,0)))</f>
        <v>1</v>
      </c>
      <c r="BE35" s="493">
        <f t="shared" si="85"/>
        <v>0</v>
      </c>
      <c r="BF35" s="491">
        <f t="shared" si="86"/>
        <v>0</v>
      </c>
      <c r="BG35" s="491">
        <f>INDEX(pin!$D$48:$T$84,MATCH(ΥΠΟΛΟΓΙΣΜΟΙ!BE35,pin!$B$48:$B$84,0),MATCH(ΥΠΟΛΟΓΙΣΜΟΙ!AW35,pin!$D$47:$T$47,0))+0.4*(BE35-AF35)*(INDEX(pin!$D$48:$T$84,MATCH(ΥΠΟΛΟΓΙΣΜΟΙ!BE35,pin!$B$48:$B$84,0),MATCH(ΥΠΟΛΟΓΙΣΜΟΙ!AW35,pin!$D$47:$T$47,0))-INDEX(pin!$D$48:$T$84,MATCH(ΥΠΟΛΟΓΙΣΜΟΙ!BF35,pin!$B$48:$B$84,0),MATCH(ΥΠΟΛΟΓΙΣΜΟΙ!AW35,pin!$D$47:$T$47,0)))</f>
        <v>1</v>
      </c>
      <c r="BH35" s="491">
        <f>INDEX(pin!$D$48:$T$84,MATCH(ΥΠΟΛΟΓΙΣΜΟΙ!BE35,pin!$B$48:$B$84,0),MATCH(ΥΠΟΛΟΓΙΣΜΟΙ!AX35,pin!$D$47:$T$47,0))+0.4*(BE35-AF35)*(INDEX(pin!$D$48:$T$84,MATCH(ΥΠΟΛΟΓΙΣΜΟΙ!BE35,pin!$B$48:$B$84,0),MATCH(ΥΠΟΛΟΓΙΣΜΟΙ!AX35,pin!$D$47:$T$47,0))-INDEX(pin!$D$48:$T$84,MATCH(ΥΠΟΛΟΓΙΣΜΟΙ!BF35,pin!$B$48:$B$84,0),MATCH(ΥΠΟΛΟΓΙΣΜΟΙ!AX35,pin!$D$47:$T$47,0)))</f>
        <v>1</v>
      </c>
      <c r="BI35" s="493">
        <f>INDEX(pin!$X$48:$AN$84,MATCH(ΥΠΟΛΟΓΙΣΜΟΙ!BE35,pin!$V$48:$V$84,0),MATCH(ΥΠΟΛΟΓΙΣΜΟΙ!AW35,pin!$X$47:$AN$47,0))+0.4*(BE35-AF35)*(INDEX(pin!$X$48:$AN$84,MATCH(ΥΠΟΛΟΓΙΣΜΟΙ!BE35,pin!$V$48:$V$84,0),MATCH(ΥΠΟΛΟΓΙΣΜΟΙ!AW35,pin!$X$47:$AN$47,0))-INDEX(pin!$X$48:$AN$84,MATCH(ΥΠΟΛΟΓΙΣΜΟΙ!BF35,pin!$V$48:$V$84,0),MATCH(ΥΠΟΛΟΓΙΣΜΟΙ!AW35,pin!$X$47:$AN$47,0)))</f>
        <v>1</v>
      </c>
      <c r="BJ35" s="492">
        <f>INDEX(pin!$X$48:$AN$84,MATCH(ΥΠΟΛΟΓΙΣΜΟΙ!BE35,pin!$V$48:$V$84,0),MATCH(ΥΠΟΛΟΓΙΣΜΟΙ!AX35,pin!$X$47:$AN$47,0))+0.4*(BE35-AF35)*(INDEX(pin!$X$48:$AN$84,MATCH(ΥΠΟΛΟΓΙΣΜΟΙ!BE35,pin!$V$48:$V$84,0),MATCH(ΥΠΟΛΟΓΙΣΜΟΙ!AX35,pin!$X$47:$AN$47,0))-INDEX(pin!$X$48:$AN$84,MATCH(ΥΠΟΛΟΓΙΣΜΟΙ!BF35,pin!$V$48:$V$84,0),MATCH(ΥΠΟΛΟΓΙΣΜΟΙ!AX35,pin!$X$47:$AN$47,0)))</f>
        <v>1</v>
      </c>
      <c r="BK35" s="493">
        <f t="shared" si="87"/>
        <v>0</v>
      </c>
      <c r="BL35" s="491">
        <f t="shared" si="88"/>
        <v>0</v>
      </c>
      <c r="BM35" s="491">
        <f>INDEX(pin!$X$48:$AN$84,MATCH(ΥΠΟΛΟΓΙΣΜΟΙ!BK35,pin!$V$48:$V$84,0),MATCH(ΥΠΟΛΟΓΙΣΜΟΙ!AW35,pin!$X$47:$AN$47,0))+0.4*(BK35-AG35)*(INDEX(pin!$X$48:$AN$84,MATCH(ΥΠΟΛΟΓΙΣΜΟΙ!BK35,pin!$V$48:$V$84,0),MATCH(ΥΠΟΛΟΓΙΣΜΟΙ!AW35,pin!$X$47:$AN$47,0))-INDEX(pin!$X$48:$AN$84,MATCH(ΥΠΟΛΟΓΙΣΜΟΙ!BL35,pin!$V$48:$V$84,0),MATCH(ΥΠΟΛΟΓΙΣΜΟΙ!AW35,pin!$X$47:$AN$47,0)))</f>
        <v>1</v>
      </c>
      <c r="BN35" s="492">
        <f>INDEX(pin!$X$48:$AN$84,MATCH(ΥΠΟΛΟΓΙΣΜΟΙ!BK35,pin!$V$48:$V$84,0),MATCH(ΥΠΟΛΟΓΙΣΜΟΙ!AX35,pin!$X$47:$AN$47,0))+0.4*(BK35-AG35)*(INDEX(pin!$X$48:$AN$84,MATCH(ΥΠΟΛΟΓΙΣΜΟΙ!BK35,pin!$V$48:$V$84,0),MATCH(ΥΠΟΛΟΓΙΣΜΟΙ!AX35,pin!$X$47:$AN$47,0))-INDEX(pin!$X$48:$AN$84,MATCH(ΥΠΟΛΟΓΙΣΜΟΙ!BL35,pin!$V$48:$V$84,0),MATCH(ΥΠΟΛΟΓΙΣΜΟΙ!AX35,pin!$X$47:$AN$47,0)))</f>
        <v>1</v>
      </c>
      <c r="BO35" s="493">
        <f t="shared" si="89"/>
        <v>0</v>
      </c>
      <c r="BP35" s="491">
        <f t="shared" si="90"/>
        <v>0</v>
      </c>
      <c r="BQ35" s="491">
        <f>INDEX(pin!$D$114:$T$132,MATCH(ΥΠΟΛΟΓΙΣΜΟΙ!BO35,pin!$B$114:$B$132,0),MATCH(ΥΠΟΛΟΓΙΣΜΟΙ!AW35,pin!$D$113:$T$113,0))+0.2*(BO35-AH35)*(INDEX(pin!$D$114:$T$132,MATCH(ΥΠΟΛΟΓΙΣΜΟΙ!BO35,pin!$B$114:$B$132,0),MATCH(ΥΠΟΛΟΓΙΣΜΟΙ!AW35,pin!$D$113:$T$113,0))-INDEX(pin!$D$114:$T$132,MATCH(ΥΠΟΛΟΓΙΣΜΟΙ!BP35,pin!$B$114:$B$132,0),MATCH(ΥΠΟΛΟΓΙΣΜΟΙ!AW35,pin!$D$113:$T$113,0)))</f>
        <v>1</v>
      </c>
      <c r="BR35" s="491">
        <f>INDEX(pin!$D$114:$T$132,MATCH(ΥΠΟΛΟΓΙΣΜΟΙ!BO35,pin!$B$114:$B$132,0),MATCH(ΥΠΟΛΟΓΙΣΜΟΙ!AX35,pin!$D$113:$T$113,0))+0.2*(BO35-AH35)*(INDEX(pin!$D$114:$T$132,MATCH(ΥΠΟΛΟΓΙΣΜΟΙ!BO35,pin!$B$114:$B$132,0),MATCH(ΥΠΟΛΟΓΙΣΜΟΙ!AX35,pin!$D$113:$T$113,0))-INDEX(pin!$D$114:$T$132,MATCH(ΥΠΟΛΟΓΙΣΜΟΙ!BP35,pin!$B$114:$B$132,0),MATCH(ΥΠΟΛΟΓΙΣΜΟΙ!AX35,pin!$D$113:$T$113,0)))</f>
        <v>1</v>
      </c>
      <c r="BS35" s="493">
        <f>INDEX(pin!$X$114:$AN$132,MATCH(ΥΠΟΛΟΓΙΣΜΟΙ!BO35,pin!$V$114:$V$132,0),MATCH(ΥΠΟΛΟΓΙΣΜΟΙ!AW35,pin!$X$113:$AN$113,0))+0.2*(BO35-AH35)*(INDEX(pin!$X$114:$AN$132,MATCH(ΥΠΟΛΟΓΙΣΜΟΙ!BO35,pin!$V$114:$V$132,0),MATCH(ΥΠΟΛΟΓΙΣΜΟΙ!AW35,pin!$X$113:$AN$113,0))-INDEX(pin!$X$114:$AN$132,MATCH(ΥΠΟΛΟΓΙΣΜΟΙ!BP35,pin!$V$114:$V$132,0),MATCH(ΥΠΟΛΟΓΙΣΜΟΙ!AW35,pin!$X$113:$AN$113,0)))</f>
        <v>1</v>
      </c>
      <c r="BT35" s="492">
        <f>INDEX(pin!$X$114:$AN$132,MATCH(ΥΠΟΛΟΓΙΣΜΟΙ!BO35,pin!$V$114:$V$132,0),MATCH(ΥΠΟΛΟΓΙΣΜΟΙ!AX35,pin!$X$113:$AN$113,0))+0.2*(BO35-AH35)*(INDEX(pin!$X$114:$AN$132,MATCH(ΥΠΟΛΟΓΙΣΜΟΙ!BO35,pin!$V$114:$V$132,0),MATCH(ΥΠΟΛΟΓΙΣΜΟΙ!AX35,pin!$X$113:$AN$113,0))-INDEX(pin!$X$114:$AN$132,MATCH(ΥΠΟΛΟΓΙΣΜΟΙ!BP35,pin!$V$114:$V$132,0),MATCH(ΥΠΟΛΟΓΙΣΜΟΙ!AX35,pin!$X$113:$AN$113,0)))</f>
        <v>1</v>
      </c>
      <c r="BU35" s="493">
        <f t="shared" si="91"/>
        <v>0</v>
      </c>
      <c r="BV35" s="491">
        <f t="shared" si="92"/>
        <v>0</v>
      </c>
      <c r="BW35" s="491">
        <f>INDEX(pin!$D$90:$T$108,MATCH(ΥΠΟΛΟΓΙΣΜΟΙ!BU35,pin!$B$90:$B$108,0),MATCH(ΥΠΟΛΟΓΙΣΜΟΙ!AW35,pin!$D$89:$T$89,0))+0.2*(BU35-AI35)*(INDEX(pin!$D$90:$T$108,MATCH(ΥΠΟΛΟΓΙΣΜΟΙ!BU35,pin!$B$90:$B$108,0),MATCH(ΥΠΟΛΟΓΙΣΜΟΙ!AW35,pin!$D$89:$T$89,0))-INDEX(pin!$D$90:$T$108,MATCH(ΥΠΟΛΟΓΙΣΜΟΙ!BV35,pin!$B$90:$B$108,0),MATCH(ΥΠΟΛΟΓΙΣΜΟΙ!AW35,pin!$D$89:$T$89,0)))</f>
        <v>1</v>
      </c>
      <c r="BX35" s="492">
        <f>INDEX(pin!$D$90:$T$108,MATCH(ΥΠΟΛΟΓΙΣΜΟΙ!BU35,pin!$B$90:$B$108,0),MATCH(ΥΠΟΛΟΓΙΣΜΟΙ!AX35,pin!$D$89:$T$89,0))+0.2*(BU35-AI35)*(INDEX(pin!$D$90:$T$108,MATCH(ΥΠΟΛΟΓΙΣΜΟΙ!BU35,pin!$B$90:$B$108,0),MATCH(ΥΠΟΛΟΓΙΣΜΟΙ!AX35,pin!$D$89:$T$89,0))-INDEX(pin!$D$90:$T$108,MATCH(ΥΠΟΛΟΓΙΣΜΟΙ!BV35,pin!$B$90:$B$108,0),MATCH(ΥΠΟΛΟΓΙΣΜΟΙ!AX35,pin!$D$89:$T$89,0)))</f>
        <v>1</v>
      </c>
      <c r="BY35" s="491">
        <f>INDEX(pin!$X$90:$AN$108,MATCH(ΥΠΟΛΟΓΙΣΜΟΙ!BU35,pin!$V$90:$V$108,0),MATCH(ΥΠΟΛΟΓΙΣΜΟΙ!AW35,pin!$X$89:$AN$89,0))+0.2*(BU35-AI35)*(INDEX(pin!$X$90:$AN$108,MATCH(ΥΠΟΛΟΓΙΣΜΟΙ!BU35,pin!$V$90:$V$108,0),MATCH(ΥΠΟΛΟΓΙΣΜΟΙ!AW35,pin!$X$89:$AN$89,0))-INDEX(pin!$X$90:$AN$108,MATCH(ΥΠΟΛΟΓΙΣΜΟΙ!BV35,pin!$V$90:$V$108,0),MATCH(ΥΠΟΛΟΓΙΣΜΟΙ!AW35,pin!$X$89:$AN$89,0)))</f>
        <v>1</v>
      </c>
      <c r="BZ35" s="492">
        <f>INDEX(pin!$X$90:$AN$108,MATCH(ΥΠΟΛΟΓΙΣΜΟΙ!BU35,pin!$V$90:$V$108,0),MATCH(ΥΠΟΛΟΓΙΣΜΟΙ!AX35,pin!$X$89:$AN$89,0))+0.2*(BU35-AI35)*(INDEX(pin!$X$90:$AN$108,MATCH(ΥΠΟΛΟΓΙΣΜΟΙ!BU35,pin!$V$90:$V$108,0),MATCH(ΥΠΟΛΟΓΙΣΜΟΙ!AX35,pin!$X$89:$AN$89,0))-INDEX(pin!$X$90:$AN$108,MATCH(ΥΠΟΛΟΓΙΣΜΟΙ!BV35,pin!$V$90:$V$108,0),MATCH(ΥΠΟΛΟΓΙΣΜΟΙ!AX35,pin!$X$89:$AN$89,0)))</f>
        <v>1</v>
      </c>
      <c r="CA35" s="191"/>
    </row>
    <row r="36" spans="1:119">
      <c r="A36" s="490">
        <v>20</v>
      </c>
      <c r="B36" s="118"/>
      <c r="C36" s="116"/>
      <c r="D36" s="116"/>
      <c r="E36" s="47" t="str">
        <f t="shared" si="62"/>
        <v>-</v>
      </c>
      <c r="F36" s="116"/>
      <c r="G36" s="239" t="str">
        <f t="shared" si="63"/>
        <v>-</v>
      </c>
      <c r="H36" s="240"/>
      <c r="I36" s="116"/>
      <c r="J36" s="116"/>
      <c r="K36" s="236" t="str">
        <f t="shared" si="64"/>
        <v>-</v>
      </c>
      <c r="L36" s="235"/>
      <c r="M36" s="235"/>
      <c r="N36" s="529" t="s">
        <v>671</v>
      </c>
      <c r="O36" s="46">
        <f t="shared" si="65"/>
        <v>1</v>
      </c>
      <c r="P36" s="120">
        <f t="shared" si="66"/>
        <v>1</v>
      </c>
      <c r="Q36" s="46">
        <f t="shared" si="67"/>
        <v>1</v>
      </c>
      <c r="R36" s="120">
        <f t="shared" si="68"/>
        <v>1</v>
      </c>
      <c r="S36" s="46">
        <f t="shared" si="69"/>
        <v>1</v>
      </c>
      <c r="T36" s="120">
        <f t="shared" si="70"/>
        <v>1</v>
      </c>
      <c r="U36" s="499"/>
      <c r="V36" s="122"/>
      <c r="W36" s="116"/>
      <c r="X36" s="117"/>
      <c r="Y36" s="163"/>
      <c r="Z36" s="122"/>
      <c r="AA36" s="116"/>
      <c r="AB36" s="116"/>
      <c r="AC36" s="499"/>
      <c r="AD36" s="117"/>
      <c r="AE36" s="204">
        <f t="shared" si="71"/>
        <v>0</v>
      </c>
      <c r="AF36" s="180">
        <f t="shared" si="72"/>
        <v>0</v>
      </c>
      <c r="AG36" s="180">
        <f t="shared" si="73"/>
        <v>0</v>
      </c>
      <c r="AH36" s="180">
        <f t="shared" si="74"/>
        <v>0</v>
      </c>
      <c r="AI36" s="180">
        <f t="shared" si="75"/>
        <v>0</v>
      </c>
      <c r="AJ36" s="494">
        <f t="shared" si="76"/>
        <v>1</v>
      </c>
      <c r="AK36" s="494">
        <f t="shared" si="77"/>
        <v>1</v>
      </c>
      <c r="AL36" s="494">
        <f t="shared" si="78"/>
        <v>1</v>
      </c>
      <c r="AM36" s="494">
        <f t="shared" si="79"/>
        <v>1</v>
      </c>
      <c r="AN36" s="493">
        <f t="shared" si="80"/>
        <v>0</v>
      </c>
      <c r="AO36" s="491"/>
      <c r="AP36" s="491"/>
      <c r="AQ36" s="491"/>
      <c r="AR36" s="491"/>
      <c r="AS36" s="491"/>
      <c r="AT36" s="491"/>
      <c r="AU36" s="491"/>
      <c r="AV36" s="491" t="s">
        <v>256</v>
      </c>
      <c r="AW36" s="491">
        <f t="shared" si="81"/>
        <v>0</v>
      </c>
      <c r="AX36" s="492">
        <f t="shared" si="82"/>
        <v>0</v>
      </c>
      <c r="AY36" s="493">
        <f t="shared" si="83"/>
        <v>0</v>
      </c>
      <c r="AZ36" s="491">
        <f t="shared" si="84"/>
        <v>0</v>
      </c>
      <c r="BA36" s="491">
        <f>INDEX(pin!$D$6:$T$42,MATCH(ΥΠΟΛΟΓΙΣΜΟΙ!AY36,pin!$B$6:$B$42,0),MATCH(ΥΠΟΛΟΓΙΣΜΟΙ!AW36,pin!$D$5:$T$5,0))+0.4*(AY36-AE36)*(INDEX(pin!$D$6:$T$42,MATCH(ΥΠΟΛΟΓΙΣΜΟΙ!AY36,pin!$B$6:$B$42,0),MATCH(ΥΠΟΛΟΓΙΣΜΟΙ!AW36,pin!$D$5:$T$5,0))-INDEX(pin!$D$6:$T$42,MATCH(ΥΠΟΛΟΓΙΣΜΟΙ!AZ36,pin!$B$6:$B$42,0),MATCH(ΥΠΟΛΟΓΙΣΜΟΙ!AW36,pin!$D$5:$T$5,0)))</f>
        <v>1</v>
      </c>
      <c r="BB36" s="492">
        <f>INDEX(pin!$D$6:$T$42,MATCH(ΥΠΟΛΟΓΙΣΜΟΙ!AY36,pin!$B$6:$B$42,0),MATCH(ΥΠΟΛΟΓΙΣΜΟΙ!AX36,pin!$D$5:$T$5,0))+0.4*(AY36-AE36)*(INDEX(pin!$D$6:$T$42,MATCH(ΥΠΟΛΟΓΙΣΜΟΙ!AY36,pin!$B$6:$B$42,0),MATCH(ΥΠΟΛΟΓΙΣΜΟΙ!AX36,pin!$D$5:$T$5,0))-INDEX(pin!$D$6:$T$42,MATCH(ΥΠΟΛΟΓΙΣΜΟΙ!AZ36,pin!$B$6:$B$42,0),MATCH(ΥΠΟΛΟΓΙΣΜΟΙ!AX36,pin!$D$5:$T$5,0)))</f>
        <v>1</v>
      </c>
      <c r="BC36" s="491">
        <f>INDEX(pin!$X$6:$AN$42,MATCH(ΥΠΟΛΟΓΙΣΜΟΙ!AY36,pin!$V$6:$V$42,0),MATCH(ΥΠΟΛΟΓΙΣΜΟΙ!AW36,pin!$X$5:$AN$5,0))+0.4*(AY36-AE36)*(INDEX(pin!$X$6:$AN$42,MATCH(ΥΠΟΛΟΓΙΣΜΟΙ!AY36,pin!$V$6:$V$42,0),MATCH(ΥΠΟΛΟΓΙΣΜΟΙ!AW36,pin!$X$5:$AN$5,0))-INDEX(pin!$X$6:$AN$42,MATCH(ΥΠΟΛΟΓΙΣΜΟΙ!AZ36,pin!$V$6:$V$42,0),MATCH(ΥΠΟΛΟΓΙΣΜΟΙ!AW36,pin!$X$5:$AN$5,0)))</f>
        <v>1</v>
      </c>
      <c r="BD36" s="491">
        <f>INDEX(pin!$X$6:$AN$42,MATCH(ΥΠΟΛΟΓΙΣΜΟΙ!AY36,pin!$V$6:$V$42,0),MATCH(ΥΠΟΛΟΓΙΣΜΟΙ!AX36,pin!$X$5:$AN$5,0))+0.4*(AY36-AE36)*(INDEX(pin!$X$6:$AN$42,MATCH(ΥΠΟΛΟΓΙΣΜΟΙ!AY36,pin!$V$6:$V$42,0),MATCH(ΥΠΟΛΟΓΙΣΜΟΙ!AX36,pin!$X$5:$AN$5,0))-INDEX(pin!$X$6:$AN$42,MATCH(ΥΠΟΛΟΓΙΣΜΟΙ!AZ36,pin!$V$6:$V$42,0),MATCH(ΥΠΟΛΟΓΙΣΜΟΙ!AX36,pin!$X$5:$AN$5,0)))</f>
        <v>1</v>
      </c>
      <c r="BE36" s="493">
        <f t="shared" si="85"/>
        <v>0</v>
      </c>
      <c r="BF36" s="491">
        <f t="shared" si="86"/>
        <v>0</v>
      </c>
      <c r="BG36" s="491">
        <f>INDEX(pin!$D$48:$T$84,MATCH(ΥΠΟΛΟΓΙΣΜΟΙ!BE36,pin!$B$48:$B$84,0),MATCH(ΥΠΟΛΟΓΙΣΜΟΙ!AW36,pin!$D$47:$T$47,0))+0.4*(BE36-AF36)*(INDEX(pin!$D$48:$T$84,MATCH(ΥΠΟΛΟΓΙΣΜΟΙ!BE36,pin!$B$48:$B$84,0),MATCH(ΥΠΟΛΟΓΙΣΜΟΙ!AW36,pin!$D$47:$T$47,0))-INDEX(pin!$D$48:$T$84,MATCH(ΥΠΟΛΟΓΙΣΜΟΙ!BF36,pin!$B$48:$B$84,0),MATCH(ΥΠΟΛΟΓΙΣΜΟΙ!AW36,pin!$D$47:$T$47,0)))</f>
        <v>1</v>
      </c>
      <c r="BH36" s="491">
        <f>INDEX(pin!$D$48:$T$84,MATCH(ΥΠΟΛΟΓΙΣΜΟΙ!BE36,pin!$B$48:$B$84,0),MATCH(ΥΠΟΛΟΓΙΣΜΟΙ!AX36,pin!$D$47:$T$47,0))+0.4*(BE36-AF36)*(INDEX(pin!$D$48:$T$84,MATCH(ΥΠΟΛΟΓΙΣΜΟΙ!BE36,pin!$B$48:$B$84,0),MATCH(ΥΠΟΛΟΓΙΣΜΟΙ!AX36,pin!$D$47:$T$47,0))-INDEX(pin!$D$48:$T$84,MATCH(ΥΠΟΛΟΓΙΣΜΟΙ!BF36,pin!$B$48:$B$84,0),MATCH(ΥΠΟΛΟΓΙΣΜΟΙ!AX36,pin!$D$47:$T$47,0)))</f>
        <v>1</v>
      </c>
      <c r="BI36" s="493">
        <f>INDEX(pin!$X$48:$AN$84,MATCH(ΥΠΟΛΟΓΙΣΜΟΙ!BE36,pin!$V$48:$V$84,0),MATCH(ΥΠΟΛΟΓΙΣΜΟΙ!AW36,pin!$X$47:$AN$47,0))+0.4*(BE36-AF36)*(INDEX(pin!$X$48:$AN$84,MATCH(ΥΠΟΛΟΓΙΣΜΟΙ!BE36,pin!$V$48:$V$84,0),MATCH(ΥΠΟΛΟΓΙΣΜΟΙ!AW36,pin!$X$47:$AN$47,0))-INDEX(pin!$X$48:$AN$84,MATCH(ΥΠΟΛΟΓΙΣΜΟΙ!BF36,pin!$V$48:$V$84,0),MATCH(ΥΠΟΛΟΓΙΣΜΟΙ!AW36,pin!$X$47:$AN$47,0)))</f>
        <v>1</v>
      </c>
      <c r="BJ36" s="492">
        <f>INDEX(pin!$X$48:$AN$84,MATCH(ΥΠΟΛΟΓΙΣΜΟΙ!BE36,pin!$V$48:$V$84,0),MATCH(ΥΠΟΛΟΓΙΣΜΟΙ!AX36,pin!$X$47:$AN$47,0))+0.4*(BE36-AF36)*(INDEX(pin!$X$48:$AN$84,MATCH(ΥΠΟΛΟΓΙΣΜΟΙ!BE36,pin!$V$48:$V$84,0),MATCH(ΥΠΟΛΟΓΙΣΜΟΙ!AX36,pin!$X$47:$AN$47,0))-INDEX(pin!$X$48:$AN$84,MATCH(ΥΠΟΛΟΓΙΣΜΟΙ!BF36,pin!$V$48:$V$84,0),MATCH(ΥΠΟΛΟΓΙΣΜΟΙ!AX36,pin!$X$47:$AN$47,0)))</f>
        <v>1</v>
      </c>
      <c r="BK36" s="493">
        <f t="shared" si="87"/>
        <v>0</v>
      </c>
      <c r="BL36" s="491">
        <f t="shared" si="88"/>
        <v>0</v>
      </c>
      <c r="BM36" s="491">
        <f>INDEX(pin!$X$48:$AN$84,MATCH(ΥΠΟΛΟΓΙΣΜΟΙ!BK36,pin!$V$48:$V$84,0),MATCH(ΥΠΟΛΟΓΙΣΜΟΙ!AW36,pin!$X$47:$AN$47,0))+0.4*(BK36-AG36)*(INDEX(pin!$X$48:$AN$84,MATCH(ΥΠΟΛΟΓΙΣΜΟΙ!BK36,pin!$V$48:$V$84,0),MATCH(ΥΠΟΛΟΓΙΣΜΟΙ!AW36,pin!$X$47:$AN$47,0))-INDEX(pin!$X$48:$AN$84,MATCH(ΥΠΟΛΟΓΙΣΜΟΙ!BL36,pin!$V$48:$V$84,0),MATCH(ΥΠΟΛΟΓΙΣΜΟΙ!AW36,pin!$X$47:$AN$47,0)))</f>
        <v>1</v>
      </c>
      <c r="BN36" s="492">
        <f>INDEX(pin!$X$48:$AN$84,MATCH(ΥΠΟΛΟΓΙΣΜΟΙ!BK36,pin!$V$48:$V$84,0),MATCH(ΥΠΟΛΟΓΙΣΜΟΙ!AX36,pin!$X$47:$AN$47,0))+0.4*(BK36-AG36)*(INDEX(pin!$X$48:$AN$84,MATCH(ΥΠΟΛΟΓΙΣΜΟΙ!BK36,pin!$V$48:$V$84,0),MATCH(ΥΠΟΛΟΓΙΣΜΟΙ!AX36,pin!$X$47:$AN$47,0))-INDEX(pin!$X$48:$AN$84,MATCH(ΥΠΟΛΟΓΙΣΜΟΙ!BL36,pin!$V$48:$V$84,0),MATCH(ΥΠΟΛΟΓΙΣΜΟΙ!AX36,pin!$X$47:$AN$47,0)))</f>
        <v>1</v>
      </c>
      <c r="BO36" s="493">
        <f t="shared" si="89"/>
        <v>0</v>
      </c>
      <c r="BP36" s="491">
        <f t="shared" si="90"/>
        <v>0</v>
      </c>
      <c r="BQ36" s="491">
        <f>INDEX(pin!$D$114:$T$132,MATCH(ΥΠΟΛΟΓΙΣΜΟΙ!BO36,pin!$B$114:$B$132,0),MATCH(ΥΠΟΛΟΓΙΣΜΟΙ!AW36,pin!$D$113:$T$113,0))+0.2*(BO36-AH36)*(INDEX(pin!$D$114:$T$132,MATCH(ΥΠΟΛΟΓΙΣΜΟΙ!BO36,pin!$B$114:$B$132,0),MATCH(ΥΠΟΛΟΓΙΣΜΟΙ!AW36,pin!$D$113:$T$113,0))-INDEX(pin!$D$114:$T$132,MATCH(ΥΠΟΛΟΓΙΣΜΟΙ!BP36,pin!$B$114:$B$132,0),MATCH(ΥΠΟΛΟΓΙΣΜΟΙ!AW36,pin!$D$113:$T$113,0)))</f>
        <v>1</v>
      </c>
      <c r="BR36" s="491">
        <f>INDEX(pin!$D$114:$T$132,MATCH(ΥΠΟΛΟΓΙΣΜΟΙ!BO36,pin!$B$114:$B$132,0),MATCH(ΥΠΟΛΟΓΙΣΜΟΙ!AX36,pin!$D$113:$T$113,0))+0.2*(BO36-AH36)*(INDEX(pin!$D$114:$T$132,MATCH(ΥΠΟΛΟΓΙΣΜΟΙ!BO36,pin!$B$114:$B$132,0),MATCH(ΥΠΟΛΟΓΙΣΜΟΙ!AX36,pin!$D$113:$T$113,0))-INDEX(pin!$D$114:$T$132,MATCH(ΥΠΟΛΟΓΙΣΜΟΙ!BP36,pin!$B$114:$B$132,0),MATCH(ΥΠΟΛΟΓΙΣΜΟΙ!AX36,pin!$D$113:$T$113,0)))</f>
        <v>1</v>
      </c>
      <c r="BS36" s="493">
        <f>INDEX(pin!$X$114:$AN$132,MATCH(ΥΠΟΛΟΓΙΣΜΟΙ!BO36,pin!$V$114:$V$132,0),MATCH(ΥΠΟΛΟΓΙΣΜΟΙ!AW36,pin!$X$113:$AN$113,0))+0.2*(BO36-AH36)*(INDEX(pin!$X$114:$AN$132,MATCH(ΥΠΟΛΟΓΙΣΜΟΙ!BO36,pin!$V$114:$V$132,0),MATCH(ΥΠΟΛΟΓΙΣΜΟΙ!AW36,pin!$X$113:$AN$113,0))-INDEX(pin!$X$114:$AN$132,MATCH(ΥΠΟΛΟΓΙΣΜΟΙ!BP36,pin!$V$114:$V$132,0),MATCH(ΥΠΟΛΟΓΙΣΜΟΙ!AW36,pin!$X$113:$AN$113,0)))</f>
        <v>1</v>
      </c>
      <c r="BT36" s="492">
        <f>INDEX(pin!$X$114:$AN$132,MATCH(ΥΠΟΛΟΓΙΣΜΟΙ!BO36,pin!$V$114:$V$132,0),MATCH(ΥΠΟΛΟΓΙΣΜΟΙ!AX36,pin!$X$113:$AN$113,0))+0.2*(BO36-AH36)*(INDEX(pin!$X$114:$AN$132,MATCH(ΥΠΟΛΟΓΙΣΜΟΙ!BO36,pin!$V$114:$V$132,0),MATCH(ΥΠΟΛΟΓΙΣΜΟΙ!AX36,pin!$X$113:$AN$113,0))-INDEX(pin!$X$114:$AN$132,MATCH(ΥΠΟΛΟΓΙΣΜΟΙ!BP36,pin!$V$114:$V$132,0),MATCH(ΥΠΟΛΟΓΙΣΜΟΙ!AX36,pin!$X$113:$AN$113,0)))</f>
        <v>1</v>
      </c>
      <c r="BU36" s="493">
        <f t="shared" si="91"/>
        <v>0</v>
      </c>
      <c r="BV36" s="491">
        <f t="shared" si="92"/>
        <v>0</v>
      </c>
      <c r="BW36" s="491">
        <f>INDEX(pin!$D$90:$T$108,MATCH(ΥΠΟΛΟΓΙΣΜΟΙ!BU36,pin!$B$90:$B$108,0),MATCH(ΥΠΟΛΟΓΙΣΜΟΙ!AW36,pin!$D$89:$T$89,0))+0.2*(BU36-AI36)*(INDEX(pin!$D$90:$T$108,MATCH(ΥΠΟΛΟΓΙΣΜΟΙ!BU36,pin!$B$90:$B$108,0),MATCH(ΥΠΟΛΟΓΙΣΜΟΙ!AW36,pin!$D$89:$T$89,0))-INDEX(pin!$D$90:$T$108,MATCH(ΥΠΟΛΟΓΙΣΜΟΙ!BV36,pin!$B$90:$B$108,0),MATCH(ΥΠΟΛΟΓΙΣΜΟΙ!AW36,pin!$D$89:$T$89,0)))</f>
        <v>1</v>
      </c>
      <c r="BX36" s="492">
        <f>INDEX(pin!$D$90:$T$108,MATCH(ΥΠΟΛΟΓΙΣΜΟΙ!BU36,pin!$B$90:$B$108,0),MATCH(ΥΠΟΛΟΓΙΣΜΟΙ!AX36,pin!$D$89:$T$89,0))+0.2*(BU36-AI36)*(INDEX(pin!$D$90:$T$108,MATCH(ΥΠΟΛΟΓΙΣΜΟΙ!BU36,pin!$B$90:$B$108,0),MATCH(ΥΠΟΛΟΓΙΣΜΟΙ!AX36,pin!$D$89:$T$89,0))-INDEX(pin!$D$90:$T$108,MATCH(ΥΠΟΛΟΓΙΣΜΟΙ!BV36,pin!$B$90:$B$108,0),MATCH(ΥΠΟΛΟΓΙΣΜΟΙ!AX36,pin!$D$89:$T$89,0)))</f>
        <v>1</v>
      </c>
      <c r="BY36" s="491">
        <f>INDEX(pin!$X$90:$AN$108,MATCH(ΥΠΟΛΟΓΙΣΜΟΙ!BU36,pin!$V$90:$V$108,0),MATCH(ΥΠΟΛΟΓΙΣΜΟΙ!AW36,pin!$X$89:$AN$89,0))+0.2*(BU36-AI36)*(INDEX(pin!$X$90:$AN$108,MATCH(ΥΠΟΛΟΓΙΣΜΟΙ!BU36,pin!$V$90:$V$108,0),MATCH(ΥΠΟΛΟΓΙΣΜΟΙ!AW36,pin!$X$89:$AN$89,0))-INDEX(pin!$X$90:$AN$108,MATCH(ΥΠΟΛΟΓΙΣΜΟΙ!BV36,pin!$V$90:$V$108,0),MATCH(ΥΠΟΛΟΓΙΣΜΟΙ!AW36,pin!$X$89:$AN$89,0)))</f>
        <v>1</v>
      </c>
      <c r="BZ36" s="492">
        <f>INDEX(pin!$X$90:$AN$108,MATCH(ΥΠΟΛΟΓΙΣΜΟΙ!BU36,pin!$V$90:$V$108,0),MATCH(ΥΠΟΛΟΓΙΣΜΟΙ!AX36,pin!$X$89:$AN$89,0))+0.2*(BU36-AI36)*(INDEX(pin!$X$90:$AN$108,MATCH(ΥΠΟΛΟΓΙΣΜΟΙ!BU36,pin!$V$90:$V$108,0),MATCH(ΥΠΟΛΟΓΙΣΜΟΙ!AX36,pin!$X$89:$AN$89,0))-INDEX(pin!$X$90:$AN$108,MATCH(ΥΠΟΛΟΓΙΣΜΟΙ!BV36,pin!$V$90:$V$108,0),MATCH(ΥΠΟΛΟΓΙΣΜΟΙ!AX36,pin!$X$89:$AN$89,0)))</f>
        <v>1</v>
      </c>
      <c r="CA36" s="191"/>
    </row>
    <row r="37" spans="1:119">
      <c r="A37" s="287"/>
      <c r="B37" s="289"/>
      <c r="C37" s="288"/>
      <c r="D37" s="288"/>
      <c r="E37" s="54"/>
      <c r="F37" s="288"/>
      <c r="G37" s="286"/>
      <c r="H37" s="55"/>
      <c r="I37" s="288"/>
      <c r="J37" s="288"/>
      <c r="K37" s="286"/>
      <c r="L37" s="717" t="str">
        <f>IF($N$8="κτιριακη μοναδα","      ↑  [γ(deg): -1 πληρης σκια στοιχειου, π.χ. φωταγωγος]"," ")</f>
        <v xml:space="preserve">      ↑  [γ(deg): -1 πληρης σκια στοιχειου, π.χ. φωταγωγος]</v>
      </c>
      <c r="M37" s="717"/>
      <c r="N37" s="717"/>
      <c r="O37" s="717"/>
      <c r="P37" s="717"/>
      <c r="Q37" s="717"/>
      <c r="R37" s="288"/>
      <c r="S37" s="288"/>
      <c r="T37" s="288"/>
      <c r="U37" s="290"/>
      <c r="V37" s="288"/>
      <c r="W37" s="288"/>
      <c r="X37" s="288"/>
      <c r="Y37" s="288"/>
      <c r="Z37" s="288"/>
      <c r="AA37" s="288"/>
      <c r="AB37" s="288"/>
      <c r="AC37" s="288"/>
      <c r="AD37" s="288"/>
      <c r="AE37" s="204"/>
      <c r="AF37" s="182"/>
      <c r="AG37" s="180"/>
      <c r="AH37" s="182"/>
      <c r="AI37" s="182"/>
      <c r="AJ37" s="183"/>
      <c r="AK37" s="183"/>
      <c r="AL37" s="183"/>
      <c r="AM37" s="183"/>
      <c r="AN37" s="207"/>
      <c r="AO37" s="208"/>
      <c r="AP37" s="208"/>
      <c r="AQ37" s="208"/>
      <c r="AR37" s="208"/>
      <c r="AS37" s="208"/>
      <c r="AT37" s="208"/>
      <c r="AU37" s="208"/>
      <c r="AV37" s="208"/>
      <c r="AW37" s="208"/>
      <c r="AX37" s="209"/>
      <c r="AY37" s="207"/>
      <c r="AZ37" s="208"/>
      <c r="BA37" s="208"/>
      <c r="BB37" s="209"/>
      <c r="BC37" s="208"/>
      <c r="BD37" s="208"/>
      <c r="BE37" s="207"/>
      <c r="BF37" s="208"/>
      <c r="BG37" s="208"/>
      <c r="BH37" s="208"/>
      <c r="BI37" s="207"/>
      <c r="BJ37" s="209"/>
      <c r="BK37" s="207"/>
      <c r="BL37" s="208"/>
      <c r="BM37" s="208"/>
      <c r="BN37" s="209"/>
      <c r="BO37" s="207"/>
      <c r="BP37" s="208"/>
      <c r="BQ37" s="208"/>
      <c r="BR37" s="208"/>
      <c r="BS37" s="207"/>
      <c r="BT37" s="209"/>
      <c r="BU37" s="207"/>
      <c r="BV37" s="208"/>
      <c r="BW37" s="208"/>
      <c r="BX37" s="209"/>
      <c r="BY37" s="208"/>
      <c r="BZ37" s="209"/>
      <c r="CA37" s="191"/>
    </row>
    <row r="38" spans="1:119">
      <c r="A38" s="758" t="s">
        <v>710</v>
      </c>
      <c r="B38" s="758"/>
      <c r="C38" s="758"/>
      <c r="D38" s="758"/>
      <c r="E38" s="758"/>
      <c r="F38" s="758"/>
      <c r="G38" s="758"/>
      <c r="H38" s="55"/>
      <c r="I38" s="488"/>
      <c r="J38" s="488"/>
      <c r="K38" s="497"/>
      <c r="L38" s="489"/>
      <c r="M38" s="489"/>
      <c r="N38" s="489"/>
      <c r="O38" s="489"/>
      <c r="P38" s="489"/>
      <c r="Q38" s="489"/>
      <c r="R38" s="488"/>
      <c r="S38" s="488"/>
      <c r="T38" s="488"/>
      <c r="U38" s="290"/>
      <c r="V38" s="488"/>
      <c r="W38" s="488"/>
      <c r="X38" s="488"/>
      <c r="Y38" s="488"/>
      <c r="Z38" s="488"/>
      <c r="AA38" s="488"/>
      <c r="AB38" s="488"/>
      <c r="AC38" s="488"/>
      <c r="AD38" s="488"/>
      <c r="AE38" s="505"/>
      <c r="AF38" s="494"/>
      <c r="AG38" s="494"/>
      <c r="AH38" s="494"/>
      <c r="AI38" s="496"/>
      <c r="AJ38" s="494"/>
      <c r="AK38" s="494"/>
      <c r="AL38" s="494"/>
      <c r="AM38" s="494"/>
      <c r="AN38" s="493"/>
      <c r="AO38" s="491"/>
      <c r="AP38" s="491"/>
      <c r="AQ38" s="491"/>
      <c r="AR38" s="491"/>
      <c r="AS38" s="491"/>
      <c r="AT38" s="491"/>
      <c r="AU38" s="491"/>
      <c r="AV38" s="491"/>
      <c r="AW38" s="491"/>
      <c r="AX38" s="492"/>
      <c r="AY38" s="493"/>
      <c r="AZ38" s="491"/>
      <c r="BA38" s="491"/>
      <c r="BB38" s="492"/>
      <c r="BC38" s="491"/>
      <c r="BD38" s="491"/>
      <c r="BE38" s="493"/>
      <c r="BF38" s="491"/>
      <c r="BG38" s="491"/>
      <c r="BH38" s="491"/>
      <c r="BI38" s="493"/>
      <c r="BJ38" s="492"/>
      <c r="BK38" s="493"/>
      <c r="BL38" s="491"/>
      <c r="BM38" s="491"/>
      <c r="BN38" s="492"/>
      <c r="BO38" s="493"/>
      <c r="BP38" s="491"/>
      <c r="BQ38" s="491"/>
      <c r="BR38" s="491"/>
      <c r="BS38" s="493"/>
      <c r="BT38" s="492"/>
      <c r="BU38" s="493"/>
      <c r="BV38" s="491"/>
      <c r="BW38" s="491"/>
      <c r="BX38" s="492"/>
      <c r="BY38" s="491"/>
      <c r="BZ38" s="492"/>
      <c r="CA38" s="191"/>
    </row>
    <row r="39" spans="1:119">
      <c r="A39" s="498"/>
      <c r="B39" s="498"/>
      <c r="C39" s="498"/>
      <c r="D39" s="498"/>
      <c r="E39" s="498"/>
      <c r="F39" s="498"/>
      <c r="G39" s="498"/>
      <c r="H39" s="55"/>
      <c r="I39" s="488"/>
      <c r="J39" s="488"/>
      <c r="K39" s="497"/>
      <c r="L39" s="489"/>
      <c r="M39" s="489"/>
      <c r="N39" s="489"/>
      <c r="O39" s="489"/>
      <c r="P39" s="489"/>
      <c r="Q39" s="489"/>
      <c r="R39" s="488"/>
      <c r="S39" s="488"/>
      <c r="T39" s="488"/>
      <c r="U39" s="488"/>
      <c r="V39" s="488"/>
      <c r="W39" s="488"/>
      <c r="X39" s="488"/>
      <c r="Y39" s="488"/>
      <c r="Z39" s="488"/>
      <c r="AA39" s="488"/>
      <c r="AB39" s="488"/>
      <c r="AC39" s="488"/>
      <c r="AD39" s="488"/>
      <c r="AE39" s="505"/>
      <c r="AF39" s="494"/>
      <c r="AG39" s="494"/>
      <c r="AH39" s="494"/>
      <c r="AI39" s="496"/>
      <c r="AJ39" s="494"/>
      <c r="AK39" s="494"/>
      <c r="AL39" s="494"/>
      <c r="AM39" s="494"/>
      <c r="AN39" s="493"/>
      <c r="AO39" s="491"/>
      <c r="AP39" s="491"/>
      <c r="AQ39" s="491"/>
      <c r="AR39" s="491"/>
      <c r="AS39" s="491"/>
      <c r="AT39" s="491"/>
      <c r="AU39" s="491"/>
      <c r="AV39" s="491"/>
      <c r="AW39" s="491"/>
      <c r="AX39" s="492"/>
      <c r="AY39" s="493"/>
      <c r="AZ39" s="491"/>
      <c r="BA39" s="491"/>
      <c r="BB39" s="492"/>
      <c r="BC39" s="491"/>
      <c r="BD39" s="491"/>
      <c r="BE39" s="493"/>
      <c r="BF39" s="491"/>
      <c r="BG39" s="491"/>
      <c r="BH39" s="491"/>
      <c r="BI39" s="493"/>
      <c r="BJ39" s="492"/>
      <c r="BK39" s="493"/>
      <c r="BL39" s="491"/>
      <c r="BM39" s="491"/>
      <c r="BN39" s="492"/>
      <c r="BO39" s="493"/>
      <c r="BP39" s="491"/>
      <c r="BQ39" s="491"/>
      <c r="BR39" s="491"/>
      <c r="BS39" s="493"/>
      <c r="BT39" s="492"/>
      <c r="BU39" s="493"/>
      <c r="BV39" s="491"/>
      <c r="BW39" s="491"/>
      <c r="BX39" s="492"/>
      <c r="BY39" s="491"/>
      <c r="BZ39" s="492"/>
      <c r="CA39" s="191"/>
    </row>
    <row r="40" spans="1:119" ht="15.6">
      <c r="A40" s="759" t="s">
        <v>848</v>
      </c>
      <c r="B40" s="760"/>
      <c r="C40" s="691" t="s">
        <v>592</v>
      </c>
      <c r="D40" s="692"/>
      <c r="E40" s="693" t="s">
        <v>583</v>
      </c>
      <c r="F40" s="694"/>
      <c r="G40" s="694"/>
      <c r="H40" s="694"/>
      <c r="I40" s="694"/>
      <c r="J40" s="694"/>
      <c r="K40" s="695"/>
      <c r="L40" s="523" t="s">
        <v>641</v>
      </c>
      <c r="M40" s="508">
        <f>SUMIFS(G46:G62,J46:J62,"ειδος Α",E46:E62,0)</f>
        <v>0</v>
      </c>
      <c r="N40" s="267" t="s">
        <v>600</v>
      </c>
      <c r="O40" s="267" t="str">
        <f>sys!Q229</f>
        <v>0</v>
      </c>
      <c r="P40" s="548" t="s">
        <v>601</v>
      </c>
      <c r="Q40" s="548"/>
      <c r="R40" s="508">
        <f>SUMIF(J46:J62,"ειδος Α",G46:G62)-M40</f>
        <v>0</v>
      </c>
      <c r="S40" s="267" t="s">
        <v>598</v>
      </c>
      <c r="T40" s="509" t="str">
        <f>sys!Q230</f>
        <v>0</v>
      </c>
      <c r="U40" s="488"/>
      <c r="V40" s="488"/>
      <c r="W40" s="488"/>
      <c r="X40" s="488"/>
      <c r="Y40" s="488"/>
      <c r="Z40" s="488"/>
      <c r="AA40" s="488"/>
      <c r="AB40" s="488"/>
      <c r="AC40" s="488"/>
      <c r="AD40" s="488"/>
      <c r="AE40" s="505"/>
      <c r="AF40" s="494"/>
      <c r="AG40" s="494"/>
      <c r="AH40" s="494"/>
      <c r="AI40" s="496"/>
      <c r="AJ40" s="494"/>
      <c r="AK40" s="494"/>
      <c r="AL40" s="494"/>
      <c r="AM40" s="494"/>
      <c r="AN40" s="493"/>
      <c r="AO40" s="491"/>
      <c r="AP40" s="491"/>
      <c r="AQ40" s="491"/>
      <c r="AR40" s="491"/>
      <c r="AS40" s="491"/>
      <c r="AT40" s="491"/>
      <c r="AU40" s="491"/>
      <c r="AV40" s="491"/>
      <c r="AW40" s="491"/>
      <c r="AX40" s="492"/>
      <c r="AY40" s="493"/>
      <c r="AZ40" s="491"/>
      <c r="BA40" s="491"/>
      <c r="BB40" s="492"/>
      <c r="BC40" s="491"/>
      <c r="BD40" s="491"/>
      <c r="BE40" s="493"/>
      <c r="BF40" s="491"/>
      <c r="BG40" s="491"/>
      <c r="BH40" s="491"/>
      <c r="BI40" s="493"/>
      <c r="BJ40" s="492"/>
      <c r="BK40" s="493"/>
      <c r="BL40" s="491"/>
      <c r="BM40" s="491"/>
      <c r="BN40" s="492"/>
      <c r="BO40" s="493"/>
      <c r="BP40" s="491"/>
      <c r="BQ40" s="491"/>
      <c r="BR40" s="491"/>
      <c r="BS40" s="493"/>
      <c r="BT40" s="492"/>
      <c r="BU40" s="493"/>
      <c r="BV40" s="491"/>
      <c r="BW40" s="491"/>
      <c r="BX40" s="492"/>
      <c r="BY40" s="491"/>
      <c r="BZ40" s="492"/>
      <c r="CA40" s="191"/>
    </row>
    <row r="41" spans="1:119" ht="15.6">
      <c r="A41" s="510"/>
      <c r="B41" s="517" t="s">
        <v>844</v>
      </c>
      <c r="C41" s="709" t="s">
        <v>592</v>
      </c>
      <c r="D41" s="710"/>
      <c r="E41" s="703" t="s">
        <v>583</v>
      </c>
      <c r="F41" s="704"/>
      <c r="G41" s="704"/>
      <c r="H41" s="704"/>
      <c r="I41" s="704"/>
      <c r="J41" s="704"/>
      <c r="K41" s="705"/>
      <c r="L41" s="524" t="s">
        <v>641</v>
      </c>
      <c r="M41" s="506">
        <f>SUMIFS(G46:G62,J46:J62,"ειδος Β",E46:E62,0)</f>
        <v>0</v>
      </c>
      <c r="N41" s="507" t="s">
        <v>600</v>
      </c>
      <c r="O41" s="507" t="str">
        <f>sys!Q235</f>
        <v>0</v>
      </c>
      <c r="P41" s="686" t="s">
        <v>601</v>
      </c>
      <c r="Q41" s="686"/>
      <c r="R41" s="506">
        <f>SUMIF(J46:J62,"ειδος Β",G46:G62)-M41</f>
        <v>0</v>
      </c>
      <c r="S41" s="507" t="s">
        <v>598</v>
      </c>
      <c r="T41" s="511" t="str">
        <f>sys!Q236</f>
        <v>0</v>
      </c>
      <c r="U41" s="488"/>
      <c r="V41" s="488"/>
      <c r="W41" s="488"/>
      <c r="X41" s="488"/>
      <c r="Y41" s="488"/>
      <c r="Z41" s="488"/>
      <c r="AA41" s="488"/>
      <c r="AB41" s="488"/>
      <c r="AC41" s="488"/>
      <c r="AD41" s="488"/>
      <c r="AE41" s="505"/>
      <c r="AF41" s="494"/>
      <c r="AG41" s="494"/>
      <c r="AH41" s="494"/>
      <c r="AI41" s="496"/>
      <c r="AJ41" s="494"/>
      <c r="AK41" s="494"/>
      <c r="AL41" s="494"/>
      <c r="AM41" s="494"/>
      <c r="AN41" s="493"/>
      <c r="AO41" s="491"/>
      <c r="AP41" s="491"/>
      <c r="AQ41" s="491"/>
      <c r="AR41" s="491"/>
      <c r="AS41" s="491"/>
      <c r="AT41" s="491"/>
      <c r="AU41" s="491"/>
      <c r="AV41" s="491"/>
      <c r="AW41" s="491"/>
      <c r="AX41" s="492"/>
      <c r="AY41" s="493"/>
      <c r="AZ41" s="491"/>
      <c r="BA41" s="491"/>
      <c r="BB41" s="492"/>
      <c r="BC41" s="491"/>
      <c r="BD41" s="491"/>
      <c r="BE41" s="493"/>
      <c r="BF41" s="491"/>
      <c r="BG41" s="491"/>
      <c r="BH41" s="491"/>
      <c r="BI41" s="493"/>
      <c r="BJ41" s="492"/>
      <c r="BK41" s="493"/>
      <c r="BL41" s="491"/>
      <c r="BM41" s="491"/>
      <c r="BN41" s="492"/>
      <c r="BO41" s="493"/>
      <c r="BP41" s="491"/>
      <c r="BQ41" s="491"/>
      <c r="BR41" s="491"/>
      <c r="BS41" s="493"/>
      <c r="BT41" s="492"/>
      <c r="BU41" s="493"/>
      <c r="BV41" s="491"/>
      <c r="BW41" s="491"/>
      <c r="BX41" s="492"/>
      <c r="BY41" s="491"/>
      <c r="BZ41" s="492"/>
      <c r="CA41" s="191"/>
    </row>
    <row r="42" spans="1:119" ht="15.6">
      <c r="A42" s="510"/>
      <c r="B42" s="517" t="s">
        <v>847</v>
      </c>
      <c r="C42" s="711" t="s">
        <v>592</v>
      </c>
      <c r="D42" s="712"/>
      <c r="E42" s="706" t="s">
        <v>583</v>
      </c>
      <c r="F42" s="707"/>
      <c r="G42" s="707"/>
      <c r="H42" s="707"/>
      <c r="I42" s="707"/>
      <c r="J42" s="707"/>
      <c r="K42" s="708"/>
      <c r="L42" s="525" t="s">
        <v>641</v>
      </c>
      <c r="M42" s="513">
        <f>SUMIFS(G46:G62,J46:J62,"ειδος Γ",E46:E62,0)</f>
        <v>0</v>
      </c>
      <c r="N42" s="514" t="s">
        <v>600</v>
      </c>
      <c r="O42" s="514" t="str">
        <f>sys!Q241</f>
        <v>0</v>
      </c>
      <c r="P42" s="687" t="s">
        <v>601</v>
      </c>
      <c r="Q42" s="687"/>
      <c r="R42" s="513">
        <f>SUMIF(J46:J62,"ειδος Γ",G46:G62)-M42</f>
        <v>0</v>
      </c>
      <c r="S42" s="514" t="s">
        <v>598</v>
      </c>
      <c r="T42" s="526" t="str">
        <f>sys!Q242</f>
        <v>0</v>
      </c>
      <c r="U42" s="699"/>
      <c r="V42" s="699"/>
      <c r="W42" s="699"/>
      <c r="X42" s="699"/>
      <c r="Y42" s="699"/>
      <c r="Z42" s="699"/>
      <c r="AA42" s="702"/>
      <c r="AB42" s="702"/>
      <c r="AC42" s="702"/>
      <c r="AD42" s="702"/>
      <c r="AE42" s="663" t="s">
        <v>424</v>
      </c>
      <c r="AF42" s="664"/>
      <c r="AG42" s="664"/>
      <c r="AH42" s="664"/>
      <c r="AI42" s="665"/>
      <c r="AJ42" s="662" t="s">
        <v>357</v>
      </c>
      <c r="AK42" s="662"/>
      <c r="AL42" s="662"/>
      <c r="AM42" s="662"/>
      <c r="AN42" s="187"/>
      <c r="AO42" s="188"/>
      <c r="AP42" s="188"/>
      <c r="AQ42" s="188"/>
      <c r="AR42" s="188"/>
      <c r="AS42" s="188"/>
      <c r="AT42" s="188"/>
      <c r="AU42" s="188"/>
      <c r="AV42" s="188" t="s">
        <v>253</v>
      </c>
      <c r="AW42" s="188"/>
      <c r="AX42" s="203"/>
      <c r="AY42" s="612" t="s">
        <v>384</v>
      </c>
      <c r="AZ42" s="610"/>
      <c r="BA42" s="610" t="s">
        <v>385</v>
      </c>
      <c r="BB42" s="611"/>
      <c r="BC42" s="612" t="s">
        <v>386</v>
      </c>
      <c r="BD42" s="611"/>
      <c r="BE42" s="612" t="s">
        <v>389</v>
      </c>
      <c r="BF42" s="610"/>
      <c r="BG42" s="610" t="s">
        <v>385</v>
      </c>
      <c r="BH42" s="610"/>
      <c r="BI42" s="612" t="s">
        <v>386</v>
      </c>
      <c r="BJ42" s="611"/>
      <c r="BK42" s="612" t="s">
        <v>389</v>
      </c>
      <c r="BL42" s="610"/>
      <c r="BM42" s="612" t="s">
        <v>390</v>
      </c>
      <c r="BN42" s="611"/>
      <c r="BO42" s="612" t="s">
        <v>392</v>
      </c>
      <c r="BP42" s="610"/>
      <c r="BQ42" s="610" t="s">
        <v>385</v>
      </c>
      <c r="BR42" s="610"/>
      <c r="BS42" s="612" t="s">
        <v>386</v>
      </c>
      <c r="BT42" s="611"/>
      <c r="BU42" s="612" t="s">
        <v>392</v>
      </c>
      <c r="BV42" s="610"/>
      <c r="BW42" s="610" t="s">
        <v>385</v>
      </c>
      <c r="BX42" s="611"/>
      <c r="BY42" s="610" t="s">
        <v>386</v>
      </c>
      <c r="BZ42" s="611"/>
      <c r="CA42" s="191"/>
    </row>
    <row r="43" spans="1:119" ht="15.6">
      <c r="A43" s="512"/>
      <c r="B43" s="518" t="s">
        <v>845</v>
      </c>
      <c r="C43" s="519" t="s">
        <v>641</v>
      </c>
      <c r="D43" s="457">
        <f>SUMIFS(G46:G62,J46:J62,"άλλο",E46:E62,0)</f>
        <v>0</v>
      </c>
      <c r="E43" s="520" t="s">
        <v>598</v>
      </c>
      <c r="F43" s="521"/>
      <c r="G43" s="685" t="s">
        <v>601</v>
      </c>
      <c r="H43" s="685"/>
      <c r="I43" s="457">
        <f>SUMIF(J46:J62,"άλλο",G46:G62)-D43</f>
        <v>0</v>
      </c>
      <c r="J43" s="520" t="s">
        <v>598</v>
      </c>
      <c r="K43" s="522"/>
      <c r="L43" s="684" t="s">
        <v>853</v>
      </c>
      <c r="M43" s="684"/>
      <c r="N43" s="684"/>
      <c r="O43" s="684"/>
      <c r="P43" s="684"/>
      <c r="Q43" s="684"/>
      <c r="R43" s="684"/>
      <c r="S43" s="515">
        <f>IFERROR(M40*O40+R40*T40+M41*O41+R41*T41+M42*O42+R42*T42+D43*F43+I43*K43,"-")</f>
        <v>0</v>
      </c>
      <c r="T43" s="516"/>
      <c r="U43" s="699" t="s">
        <v>359</v>
      </c>
      <c r="V43" s="699"/>
      <c r="W43" s="699"/>
      <c r="X43" s="699"/>
      <c r="Y43" s="699"/>
      <c r="Z43" s="699"/>
      <c r="AA43" s="702" t="s">
        <v>292</v>
      </c>
      <c r="AB43" s="702"/>
      <c r="AC43" s="702"/>
      <c r="AD43" s="702"/>
      <c r="AE43" s="505"/>
      <c r="AF43" s="494"/>
      <c r="AG43" s="494"/>
      <c r="AH43" s="494"/>
      <c r="AI43" s="496"/>
      <c r="AJ43" s="494"/>
      <c r="AK43" s="494"/>
      <c r="AL43" s="494"/>
      <c r="AM43" s="494"/>
      <c r="AN43" s="493"/>
      <c r="AO43" s="491"/>
      <c r="AP43" s="491"/>
      <c r="AQ43" s="491"/>
      <c r="AR43" s="491"/>
      <c r="AS43" s="491"/>
      <c r="AT43" s="491"/>
      <c r="AU43" s="491"/>
      <c r="AV43" s="491"/>
      <c r="AW43" s="491"/>
      <c r="AX43" s="492"/>
      <c r="AY43" s="493"/>
      <c r="AZ43" s="491"/>
      <c r="BA43" s="491"/>
      <c r="BB43" s="492"/>
      <c r="BC43" s="491"/>
      <c r="BD43" s="492"/>
      <c r="BE43" s="493"/>
      <c r="BF43" s="491"/>
      <c r="BG43" s="491"/>
      <c r="BH43" s="491"/>
      <c r="BI43" s="493"/>
      <c r="BJ43" s="492"/>
      <c r="BK43" s="493"/>
      <c r="BL43" s="491"/>
      <c r="BM43" s="491"/>
      <c r="BN43" s="492"/>
      <c r="BO43" s="493"/>
      <c r="BP43" s="491"/>
      <c r="BQ43" s="491"/>
      <c r="BR43" s="491"/>
      <c r="BS43" s="493"/>
      <c r="BT43" s="492"/>
      <c r="BU43" s="493"/>
      <c r="BV43" s="491"/>
      <c r="BW43" s="491"/>
      <c r="BX43" s="492"/>
      <c r="BY43" s="491"/>
      <c r="BZ43" s="492"/>
      <c r="CA43" s="191"/>
    </row>
    <row r="44" spans="1:119">
      <c r="C44" s="564" t="s">
        <v>828</v>
      </c>
      <c r="D44" s="564"/>
      <c r="E44" s="564"/>
      <c r="F44" s="564"/>
      <c r="G44" s="565"/>
      <c r="H44" s="395"/>
      <c r="I44" s="395"/>
      <c r="J44" s="395"/>
      <c r="K44" s="395"/>
      <c r="L44" s="395"/>
      <c r="M44" s="395"/>
      <c r="N44" s="395"/>
      <c r="O44" s="745" t="s">
        <v>217</v>
      </c>
      <c r="P44" s="745"/>
      <c r="Q44" s="745"/>
      <c r="R44" s="745"/>
      <c r="S44" s="745"/>
      <c r="T44" s="745"/>
      <c r="U44" s="668" t="s">
        <v>642</v>
      </c>
      <c r="V44" s="614"/>
      <c r="W44" s="613" t="s">
        <v>643</v>
      </c>
      <c r="X44" s="614"/>
      <c r="Y44" s="613" t="s">
        <v>644</v>
      </c>
      <c r="Z44" s="614"/>
      <c r="AA44" s="622" t="s">
        <v>647</v>
      </c>
      <c r="AB44" s="562"/>
      <c r="AC44" s="622" t="s">
        <v>648</v>
      </c>
      <c r="AD44" s="562"/>
      <c r="AE44" s="192"/>
      <c r="AF44" s="610"/>
      <c r="AG44" s="610"/>
      <c r="AH44" s="610"/>
      <c r="AI44" s="611"/>
      <c r="AJ44" s="662" t="s">
        <v>127</v>
      </c>
      <c r="AK44" s="662"/>
      <c r="AL44" s="662" t="s">
        <v>128</v>
      </c>
      <c r="AM44" s="662"/>
      <c r="AN44" s="187" t="s">
        <v>372</v>
      </c>
      <c r="AO44" s="188"/>
      <c r="AP44" s="188"/>
      <c r="AQ44" s="188"/>
      <c r="AR44" s="188"/>
      <c r="AS44" s="188"/>
      <c r="AT44" s="188"/>
      <c r="AU44" s="188"/>
      <c r="AV44" s="188" t="s">
        <v>254</v>
      </c>
      <c r="AW44" s="188" t="s">
        <v>372</v>
      </c>
      <c r="AX44" s="203" t="s">
        <v>372</v>
      </c>
      <c r="AY44" s="187" t="s">
        <v>372</v>
      </c>
      <c r="AZ44" s="188" t="s">
        <v>372</v>
      </c>
      <c r="BA44" s="188" t="s">
        <v>371</v>
      </c>
      <c r="BB44" s="203" t="s">
        <v>383</v>
      </c>
      <c r="BC44" s="188" t="s">
        <v>371</v>
      </c>
      <c r="BD44" s="203" t="s">
        <v>383</v>
      </c>
      <c r="BE44" s="187" t="s">
        <v>372</v>
      </c>
      <c r="BF44" s="188" t="s">
        <v>372</v>
      </c>
      <c r="BG44" s="188" t="s">
        <v>371</v>
      </c>
      <c r="BH44" s="188" t="s">
        <v>383</v>
      </c>
      <c r="BI44" s="187" t="s">
        <v>371</v>
      </c>
      <c r="BJ44" s="203" t="s">
        <v>383</v>
      </c>
      <c r="BK44" s="187" t="s">
        <v>372</v>
      </c>
      <c r="BL44" s="188" t="s">
        <v>372</v>
      </c>
      <c r="BM44" s="188" t="s">
        <v>371</v>
      </c>
      <c r="BN44" s="203" t="s">
        <v>383</v>
      </c>
      <c r="BO44" s="187" t="s">
        <v>372</v>
      </c>
      <c r="BP44" s="188" t="s">
        <v>372</v>
      </c>
      <c r="BQ44" s="188" t="s">
        <v>371</v>
      </c>
      <c r="BR44" s="188" t="s">
        <v>383</v>
      </c>
      <c r="BS44" s="187" t="s">
        <v>371</v>
      </c>
      <c r="BT44" s="203" t="s">
        <v>383</v>
      </c>
      <c r="BU44" s="187" t="s">
        <v>372</v>
      </c>
      <c r="BV44" s="188" t="s">
        <v>372</v>
      </c>
      <c r="BW44" s="188" t="s">
        <v>371</v>
      </c>
      <c r="BX44" s="203" t="s">
        <v>383</v>
      </c>
      <c r="BY44" s="188" t="s">
        <v>371</v>
      </c>
      <c r="BZ44" s="203" t="s">
        <v>383</v>
      </c>
      <c r="CA44" s="191"/>
    </row>
    <row r="45" spans="1:119">
      <c r="A45" s="562" t="s">
        <v>4</v>
      </c>
      <c r="B45" s="563"/>
      <c r="C45" s="37" t="s">
        <v>5</v>
      </c>
      <c r="D45" s="37" t="s">
        <v>23</v>
      </c>
      <c r="E45" s="37" t="s">
        <v>24</v>
      </c>
      <c r="F45" s="38" t="s">
        <v>6</v>
      </c>
      <c r="G45" s="39" t="s">
        <v>25</v>
      </c>
      <c r="H45" s="39" t="s">
        <v>9</v>
      </c>
      <c r="I45" s="39" t="s">
        <v>10</v>
      </c>
      <c r="J45" s="268" t="s">
        <v>606</v>
      </c>
      <c r="K45" s="42" t="s">
        <v>26</v>
      </c>
      <c r="L45" s="43" t="s">
        <v>28</v>
      </c>
      <c r="M45" s="566" t="s">
        <v>714</v>
      </c>
      <c r="N45" s="567"/>
      <c r="O45" s="41" t="s">
        <v>122</v>
      </c>
      <c r="P45" s="40" t="s">
        <v>123</v>
      </c>
      <c r="Q45" s="41" t="s">
        <v>13</v>
      </c>
      <c r="R45" s="40" t="s">
        <v>124</v>
      </c>
      <c r="S45" s="41" t="s">
        <v>125</v>
      </c>
      <c r="T45" s="40" t="s">
        <v>126</v>
      </c>
      <c r="U45" s="150" t="s">
        <v>490</v>
      </c>
      <c r="V45" s="44" t="s">
        <v>352</v>
      </c>
      <c r="W45" s="37" t="s">
        <v>27</v>
      </c>
      <c r="X45" s="44" t="s">
        <v>12</v>
      </c>
      <c r="Y45" s="149" t="s">
        <v>346</v>
      </c>
      <c r="Z45" s="151" t="s">
        <v>347</v>
      </c>
      <c r="AA45" s="150" t="s">
        <v>353</v>
      </c>
      <c r="AB45" s="149" t="s">
        <v>348</v>
      </c>
      <c r="AC45" s="150" t="s">
        <v>353</v>
      </c>
      <c r="AD45" s="149" t="s">
        <v>348</v>
      </c>
      <c r="AE45" s="204" t="s">
        <v>8</v>
      </c>
      <c r="AF45" s="180" t="s">
        <v>29</v>
      </c>
      <c r="AG45" s="206" t="s">
        <v>30</v>
      </c>
      <c r="AH45" s="180" t="s">
        <v>20</v>
      </c>
      <c r="AI45" s="180" t="s">
        <v>21</v>
      </c>
      <c r="AJ45" s="205" t="s">
        <v>125</v>
      </c>
      <c r="AK45" s="180" t="s">
        <v>126</v>
      </c>
      <c r="AL45" s="205" t="s">
        <v>125</v>
      </c>
      <c r="AM45" s="206" t="s">
        <v>126</v>
      </c>
      <c r="AN45" s="187" t="s">
        <v>373</v>
      </c>
      <c r="AO45" s="188"/>
      <c r="AP45" s="188"/>
      <c r="AQ45" s="188"/>
      <c r="AR45" s="188"/>
      <c r="AS45" s="188"/>
      <c r="AT45" s="188"/>
      <c r="AU45" s="188"/>
      <c r="AV45" s="188" t="s">
        <v>255</v>
      </c>
      <c r="AW45" s="188" t="s">
        <v>369</v>
      </c>
      <c r="AX45" s="203" t="s">
        <v>370</v>
      </c>
      <c r="AY45" s="207" t="s">
        <v>369</v>
      </c>
      <c r="AZ45" s="208" t="s">
        <v>370</v>
      </c>
      <c r="BA45" s="208" t="s">
        <v>369</v>
      </c>
      <c r="BB45" s="209" t="s">
        <v>370</v>
      </c>
      <c r="BC45" s="208" t="s">
        <v>369</v>
      </c>
      <c r="BD45" s="209" t="s">
        <v>370</v>
      </c>
      <c r="BE45" s="207" t="s">
        <v>369</v>
      </c>
      <c r="BF45" s="208" t="s">
        <v>370</v>
      </c>
      <c r="BG45" s="208" t="s">
        <v>369</v>
      </c>
      <c r="BH45" s="208" t="s">
        <v>370</v>
      </c>
      <c r="BI45" s="207" t="s">
        <v>369</v>
      </c>
      <c r="BJ45" s="209" t="s">
        <v>370</v>
      </c>
      <c r="BK45" s="207" t="s">
        <v>369</v>
      </c>
      <c r="BL45" s="208" t="s">
        <v>370</v>
      </c>
      <c r="BM45" s="208" t="s">
        <v>369</v>
      </c>
      <c r="BN45" s="209" t="s">
        <v>370</v>
      </c>
      <c r="BO45" s="207" t="s">
        <v>369</v>
      </c>
      <c r="BP45" s="208" t="s">
        <v>370</v>
      </c>
      <c r="BQ45" s="208" t="s">
        <v>369</v>
      </c>
      <c r="BR45" s="208" t="s">
        <v>370</v>
      </c>
      <c r="BS45" s="207" t="s">
        <v>369</v>
      </c>
      <c r="BT45" s="209" t="s">
        <v>370</v>
      </c>
      <c r="BU45" s="207" t="s">
        <v>369</v>
      </c>
      <c r="BV45" s="208" t="s">
        <v>370</v>
      </c>
      <c r="BW45" s="208" t="s">
        <v>369</v>
      </c>
      <c r="BX45" s="209" t="s">
        <v>370</v>
      </c>
      <c r="BY45" s="208" t="s">
        <v>369</v>
      </c>
      <c r="BZ45" s="209" t="s">
        <v>370</v>
      </c>
      <c r="CA45" s="191"/>
    </row>
    <row r="46" spans="1:119">
      <c r="A46" s="161">
        <v>1</v>
      </c>
      <c r="B46" s="118"/>
      <c r="C46" s="116"/>
      <c r="D46" s="116"/>
      <c r="E46" s="116"/>
      <c r="F46" s="47" t="str">
        <f>IF(C46=0,"-",D46-E46)</f>
        <v>-</v>
      </c>
      <c r="G46" s="81" t="str">
        <f>IFERROR(IF(C46&gt;0,C46*F46,-1*C46*F46),"-")</f>
        <v>-</v>
      </c>
      <c r="H46" s="235"/>
      <c r="I46" s="119"/>
      <c r="J46" s="269" t="s">
        <v>607</v>
      </c>
      <c r="K46" s="123"/>
      <c r="L46" s="387"/>
      <c r="M46" s="568" t="s">
        <v>670</v>
      </c>
      <c r="N46" s="569"/>
      <c r="O46" s="46">
        <f>IF(C46&gt;=0,BA46+0.0444*(H46-AW46)*(BB46-BA46),0)</f>
        <v>1</v>
      </c>
      <c r="P46" s="120">
        <f>IF(C46&gt;=0,BC46+0.0444*(H46-AW46)*(BD46-BC46),0)</f>
        <v>1</v>
      </c>
      <c r="Q46" s="46">
        <f>IF(C46&gt;=0,BG46+0.0444*(H46-AW46)*(BH46-BG46),0)</f>
        <v>1</v>
      </c>
      <c r="R46" s="120">
        <f>IF(C46&gt;=0,IF(AG46=0,BI46+0.0444*(H46-AW46)*(BJ46-BI46),BM46+0.0444*(H46-AW46)*(BN46-BM46)),0)</f>
        <v>1</v>
      </c>
      <c r="S46" s="46">
        <f>IF(C46&gt;=0,AJ46*AL46,0)</f>
        <v>1</v>
      </c>
      <c r="T46" s="120">
        <f>IF(C46&gt;=0,AK46*AM46,0)</f>
        <v>1</v>
      </c>
      <c r="U46" s="121"/>
      <c r="V46" s="124" t="str">
        <f>IF(U46=0,"-",K46-0.5*F46-E46)</f>
        <v>-</v>
      </c>
      <c r="W46" s="116"/>
      <c r="X46" s="124" t="str">
        <f>IF(W46=0,"-",L46-0.5*F46-E46)</f>
        <v>-</v>
      </c>
      <c r="Y46" s="130"/>
      <c r="Z46" s="131"/>
      <c r="AA46" s="116"/>
      <c r="AB46" s="116"/>
      <c r="AC46" s="121"/>
      <c r="AD46" s="117"/>
      <c r="AE46" s="204">
        <f>IFERROR(DEGREES(ATAN(V46/U46)),0)</f>
        <v>0</v>
      </c>
      <c r="AF46" s="180">
        <f>IFERROR(DEGREES(ATAN(W46/X46)),0)</f>
        <v>0</v>
      </c>
      <c r="AG46" s="206">
        <f>IF(Y46&gt;0,IF((Z46-0.5*F46-E46)&gt;0,DEGREES(ATAN(Y46/(Z46-0.5*F46-E46))),90),0)</f>
        <v>0</v>
      </c>
      <c r="AH46" s="180">
        <f>IFERROR(DEGREES(ATAN(AA46/AB46)),0)</f>
        <v>0</v>
      </c>
      <c r="AI46" s="180">
        <f>IFERROR(DEGREES(ATAN(AC46/AD46)),0)</f>
        <v>0</v>
      </c>
      <c r="AJ46" s="181">
        <f>BQ46+0.0444*(H46-AW46)*(BR46-BQ46)</f>
        <v>1</v>
      </c>
      <c r="AK46" s="181">
        <f>BS46+0.0444*(H46-AW46)*(BT46-BS46)</f>
        <v>1</v>
      </c>
      <c r="AL46" s="181">
        <f>BW46+0.0444*(H46-AW46)*(BX46-BW46)</f>
        <v>1</v>
      </c>
      <c r="AM46" s="181">
        <f>BY46+0.0444*(H46-AW46)*(BZ46-BY46)</f>
        <v>1</v>
      </c>
      <c r="AN46" s="219">
        <f>IF(H46=-1,"-",MROUND(H46, 22.5))</f>
        <v>0</v>
      </c>
      <c r="AO46" s="220"/>
      <c r="AP46" s="220"/>
      <c r="AQ46" s="220"/>
      <c r="AR46" s="220"/>
      <c r="AS46" s="220"/>
      <c r="AT46" s="220"/>
      <c r="AU46" s="220"/>
      <c r="AV46" s="220" t="s">
        <v>256</v>
      </c>
      <c r="AW46" s="220">
        <f>IF(AN46-H46&lt;=0,AN46,AN46-22.5)</f>
        <v>0</v>
      </c>
      <c r="AX46" s="221">
        <f>IF(AN46-H46=0,AN46,AW46+22.5)</f>
        <v>0</v>
      </c>
      <c r="AY46" s="187">
        <f t="shared" ref="AY46:AY54" si="93">IF(MROUND(AE46,2.5)-AE46&lt;=0,MROUND(AE46,2.5),MROUND(AE46,2.5)-2.5)</f>
        <v>0</v>
      </c>
      <c r="AZ46" s="188">
        <f t="shared" ref="AZ46:AZ54" si="94">IF(MROUND(AE46,2.5)-AE46=0,MROUND(AE46,2.5),AY46+2.5)</f>
        <v>0</v>
      </c>
      <c r="BA46" s="188">
        <f>INDEX(pin!$D$6:$T$42,MATCH(ΥΠΟΛΟΓΙΣΜΟΙ!AY46,pin!$B$6:$B$42,0),MATCH(ΥΠΟΛΟΓΙΣΜΟΙ!AW46,pin!$D$5:$T$5,0))+0.4*(AY46-AE46)*(INDEX(pin!$D$6:$T$42,MATCH(ΥΠΟΛΟΓΙΣΜΟΙ!AY46,pin!$B$6:$B$42,0),MATCH(ΥΠΟΛΟΓΙΣΜΟΙ!AW46,pin!$D$5:$T$5,0))-INDEX(pin!$D$6:$T$42,MATCH(ΥΠΟΛΟΓΙΣΜΟΙ!AZ46,pin!$B$6:$B$42,0),MATCH(ΥΠΟΛΟΓΙΣΜΟΙ!AW46,pin!$D$5:$T$5,0)))</f>
        <v>1</v>
      </c>
      <c r="BB46" s="203">
        <f>INDEX(pin!$D$6:$T$42,MATCH(ΥΠΟΛΟΓΙΣΜΟΙ!AY46,pin!$B$6:$B$42,0),MATCH(ΥΠΟΛΟΓΙΣΜΟΙ!AX46,pin!$D$5:$T$5,0))+0.4*(AY46-AE46)*(INDEX(pin!$D$6:$T$42,MATCH(ΥΠΟΛΟΓΙΣΜΟΙ!AY46,pin!$B$6:$B$42,0),MATCH(ΥΠΟΛΟΓΙΣΜΟΙ!AX46,pin!$D$5:$T$5,0))-INDEX(pin!$D$6:$T$42,MATCH(ΥΠΟΛΟΓΙΣΜΟΙ!AZ46,pin!$B$6:$B$42,0),MATCH(ΥΠΟΛΟΓΙΣΜΟΙ!AX46,pin!$D$5:$T$5,0)))</f>
        <v>1</v>
      </c>
      <c r="BC46" s="188">
        <f>INDEX(pin!$X$6:$AN$42,MATCH(ΥΠΟΛΟΓΙΣΜΟΙ!AY46,pin!$V$6:$V$42,0),MATCH(ΥΠΟΛΟΓΙΣΜΟΙ!AW46,pin!$X$5:$AN$5,0))+0.4*(AY46-AE46)*(INDEX(pin!$X$6:$AN$42,MATCH(ΥΠΟΛΟΓΙΣΜΟΙ!AY46,pin!$V$6:$V$42,0),MATCH(ΥΠΟΛΟΓΙΣΜΟΙ!AW46,pin!$X$5:$AN$5,0))-INDEX(pin!$X$6:$AN$42,MATCH(ΥΠΟΛΟΓΙΣΜΟΙ!AZ46,pin!$V$6:$V$42,0),MATCH(ΥΠΟΛΟΓΙΣΜΟΙ!AW46,pin!$X$5:$AN$5,0)))</f>
        <v>1</v>
      </c>
      <c r="BD46" s="188">
        <f>INDEX(pin!$X$6:$AN$42,MATCH(ΥΠΟΛΟΓΙΣΜΟΙ!AY46,pin!$V$6:$V$42,0),MATCH(ΥΠΟΛΟΓΙΣΜΟΙ!AX46,pin!$X$5:$AN$5,0))+0.4*(AY46-AE46)*(INDEX(pin!$X$6:$AN$42,MATCH(ΥΠΟΛΟΓΙΣΜΟΙ!AY46,pin!$V$6:$V$42,0),MATCH(ΥΠΟΛΟΓΙΣΜΟΙ!AX46,pin!$X$5:$AN$5,0))-INDEX(pin!$X$6:$AN$42,MATCH(ΥΠΟΛΟΓΙΣΜΟΙ!AZ46,pin!$V$6:$V$42,0),MATCH(ΥΠΟΛΟΓΙΣΜΟΙ!AX46,pin!$X$5:$AN$5,0)))</f>
        <v>1</v>
      </c>
      <c r="BE46" s="187">
        <f t="shared" ref="BE46:BE54" si="95">IF(MROUND(AF46,2.5)-AF46&lt;=0,MROUND(AF46,2.5),MROUND(AF46,2.5)-2.5)</f>
        <v>0</v>
      </c>
      <c r="BF46" s="188">
        <f t="shared" ref="BF46:BF54" si="96">IF(MROUND(AF46,2.5)-AF46=0,MROUND(AF46,2.5),BE46+2.5)</f>
        <v>0</v>
      </c>
      <c r="BG46" s="188">
        <f>INDEX(pin!$D$48:$T$84,MATCH(ΥΠΟΛΟΓΙΣΜΟΙ!BE46,pin!$B$48:$B$84,0),MATCH(ΥΠΟΛΟΓΙΣΜΟΙ!AW46,pin!$D$47:$T$47,0))+0.4*(BE46-AF46)*(INDEX(pin!$D$48:$T$84,MATCH(ΥΠΟΛΟΓΙΣΜΟΙ!BE46,pin!$B$48:$B$84,0),MATCH(ΥΠΟΛΟΓΙΣΜΟΙ!AW46,pin!$D$47:$T$47,0))-INDEX(pin!$D$48:$T$84,MATCH(ΥΠΟΛΟΓΙΣΜΟΙ!BF46,pin!$B$48:$B$84,0),MATCH(ΥΠΟΛΟΓΙΣΜΟΙ!AW46,pin!$D$47:$T$47,0)))</f>
        <v>1</v>
      </c>
      <c r="BH46" s="188">
        <f>INDEX(pin!$D$48:$T$84,MATCH(ΥΠΟΛΟΓΙΣΜΟΙ!BE46,pin!$B$48:$B$84,0),MATCH(ΥΠΟΛΟΓΙΣΜΟΙ!AX46,pin!$D$47:$T$47,0))+0.4*(BE46-AF46)*(INDEX(pin!$D$48:$T$84,MATCH(ΥΠΟΛΟΓΙΣΜΟΙ!BE46,pin!$B$48:$B$84,0),MATCH(ΥΠΟΛΟΓΙΣΜΟΙ!AX46,pin!$D$47:$T$47,0))-INDEX(pin!$D$48:$T$84,MATCH(ΥΠΟΛΟΓΙΣΜΟΙ!BF46,pin!$B$48:$B$84,0),MATCH(ΥΠΟΛΟΓΙΣΜΟΙ!AX46,pin!$D$47:$T$47,0)))</f>
        <v>1</v>
      </c>
      <c r="BI46" s="187">
        <f>INDEX(pin!$X$48:$AN$84,MATCH(ΥΠΟΛΟΓΙΣΜΟΙ!BE46,pin!$V$48:$V$84,0),MATCH(ΥΠΟΛΟΓΙΣΜΟΙ!AW46,pin!$X$47:$AN$47,0))+0.4*(BE46-AF46)*(INDEX(pin!$X$48:$AN$84,MATCH(ΥΠΟΛΟΓΙΣΜΟΙ!BE46,pin!$V$48:$V$84,0),MATCH(ΥΠΟΛΟΓΙΣΜΟΙ!AW46,pin!$X$47:$AN$47,0))-INDEX(pin!$X$48:$AN$84,MATCH(ΥΠΟΛΟΓΙΣΜΟΙ!BF46,pin!$V$48:$V$84,0),MATCH(ΥΠΟΛΟΓΙΣΜΟΙ!AW46,pin!$X$47:$AN$47,0)))</f>
        <v>1</v>
      </c>
      <c r="BJ46" s="203">
        <f>INDEX(pin!$X$48:$AN$84,MATCH(ΥΠΟΛΟΓΙΣΜΟΙ!BE46,pin!$V$48:$V$84,0),MATCH(ΥΠΟΛΟΓΙΣΜΟΙ!AX46,pin!$X$47:$AN$47,0))+0.4*(BE46-AF46)*(INDEX(pin!$X$48:$AN$84,MATCH(ΥΠΟΛΟΓΙΣΜΟΙ!BE46,pin!$V$48:$V$84,0),MATCH(ΥΠΟΛΟΓΙΣΜΟΙ!AX46,pin!$X$47:$AN$47,0))-INDEX(pin!$X$48:$AN$84,MATCH(ΥΠΟΛΟΓΙΣΜΟΙ!BF46,pin!$V$48:$V$84,0),MATCH(ΥΠΟΛΟΓΙΣΜΟΙ!AX46,pin!$X$47:$AN$47,0)))</f>
        <v>1</v>
      </c>
      <c r="BK46" s="187">
        <f t="shared" ref="BK46:BK54" si="97">IF(MROUND(AG46,2.5)-AG46&lt;=0,MROUND(AG46,2.5),MROUND(AG46,2.5)-2.5)</f>
        <v>0</v>
      </c>
      <c r="BL46" s="188">
        <f t="shared" ref="BL46:BL54" si="98">IF(MROUND(AG46,2.5)-AG46=0,MROUND(AG46,2.5),BK46+2.5)</f>
        <v>0</v>
      </c>
      <c r="BM46" s="188">
        <f>INDEX(pin!$X$48:$AN$84,MATCH(ΥΠΟΛΟΓΙΣΜΟΙ!BK46,pin!$V$48:$V$84,0),MATCH(ΥΠΟΛΟΓΙΣΜΟΙ!AW46,pin!$X$47:$AN$47,0))+0.4*(BK46-AG46)*(INDEX(pin!$X$48:$AN$84,MATCH(ΥΠΟΛΟΓΙΣΜΟΙ!BK46,pin!$V$48:$V$84,0),MATCH(ΥΠΟΛΟΓΙΣΜΟΙ!AW46,pin!$X$47:$AN$47,0))-INDEX(pin!$X$48:$AN$84,MATCH(ΥΠΟΛΟΓΙΣΜΟΙ!BL46,pin!$V$48:$V$84,0),MATCH(ΥΠΟΛΟΓΙΣΜΟΙ!AW46,pin!$X$47:$AN$47,0)))</f>
        <v>1</v>
      </c>
      <c r="BN46" s="203">
        <f>INDEX(pin!$X$48:$AN$84,MATCH(ΥΠΟΛΟΓΙΣΜΟΙ!BK46,pin!$V$48:$V$84,0),MATCH(ΥΠΟΛΟΓΙΣΜΟΙ!AX46,pin!$X$47:$AN$47,0))+0.4*(BK46-AG46)*(INDEX(pin!$X$48:$AN$84,MATCH(ΥΠΟΛΟΓΙΣΜΟΙ!BK46,pin!$V$48:$V$84,0),MATCH(ΥΠΟΛΟΓΙΣΜΟΙ!AX46,pin!$X$47:$AN$47,0))-INDEX(pin!$X$48:$AN$84,MATCH(ΥΠΟΛΟΓΙΣΜΟΙ!BL46,pin!$V$48:$V$84,0),MATCH(ΥΠΟΛΟΓΙΣΜΟΙ!AX46,pin!$X$47:$AN$47,0)))</f>
        <v>1</v>
      </c>
      <c r="BO46" s="187">
        <f t="shared" ref="BO46:BO54" si="99">IF(MROUND(AH46,5)-AH46&lt;=0,MROUND(AH46,5),MROUND(AH46,5)-5)</f>
        <v>0</v>
      </c>
      <c r="BP46" s="188">
        <f t="shared" ref="BP46:BP54" si="100">IF(MROUND(AH46,5)-AH46=0,MROUND(AH46,5),BO46+5)</f>
        <v>0</v>
      </c>
      <c r="BQ46" s="188">
        <f>INDEX(pin!$D$114:$T$132,MATCH(ΥΠΟΛΟΓΙΣΜΟΙ!BO46,pin!$B$114:$B$132,0),MATCH(ΥΠΟΛΟΓΙΣΜΟΙ!AW46,pin!$D$113:$T$113,0))+0.2*(BO46-AH46)*(INDEX(pin!$D$114:$T$132,MATCH(ΥΠΟΛΟΓΙΣΜΟΙ!BO46,pin!$B$114:$B$132,0),MATCH(ΥΠΟΛΟΓΙΣΜΟΙ!AW46,pin!$D$113:$T$113,0))-INDEX(pin!$D$114:$T$132,MATCH(ΥΠΟΛΟΓΙΣΜΟΙ!BP46,pin!$B$114:$B$132,0),MATCH(ΥΠΟΛΟΓΙΣΜΟΙ!AW46,pin!$D$113:$T$113,0)))</f>
        <v>1</v>
      </c>
      <c r="BR46" s="188">
        <f>INDEX(pin!$D$114:$T$132,MATCH(ΥΠΟΛΟΓΙΣΜΟΙ!BO46,pin!$B$114:$B$132,0),MATCH(ΥΠΟΛΟΓΙΣΜΟΙ!AX46,pin!$D$113:$T$113,0))+0.2*(BO46-AH46)*(INDEX(pin!$D$114:$T$132,MATCH(ΥΠΟΛΟΓΙΣΜΟΙ!BO46,pin!$B$114:$B$132,0),MATCH(ΥΠΟΛΟΓΙΣΜΟΙ!AX46,pin!$D$113:$T$113,0))-INDEX(pin!$D$114:$T$132,MATCH(ΥΠΟΛΟΓΙΣΜΟΙ!BP46,pin!$B$114:$B$132,0),MATCH(ΥΠΟΛΟΓΙΣΜΟΙ!AX46,pin!$D$113:$T$113,0)))</f>
        <v>1</v>
      </c>
      <c r="BS46" s="187">
        <f>INDEX(pin!$X$114:$AN$132,MATCH(ΥΠΟΛΟΓΙΣΜΟΙ!BO46,pin!$V$114:$V$132,0),MATCH(ΥΠΟΛΟΓΙΣΜΟΙ!AW46,pin!$X$113:$AN$113,0))+0.2*(BO46-AH46)*(INDEX(pin!$X$114:$AN$132,MATCH(ΥΠΟΛΟΓΙΣΜΟΙ!BO46,pin!$V$114:$V$132,0),MATCH(ΥΠΟΛΟΓΙΣΜΟΙ!AW46,pin!$X$113:$AN$113,0))-INDEX(pin!$X$114:$AN$132,MATCH(ΥΠΟΛΟΓΙΣΜΟΙ!BP46,pin!$V$114:$V$132,0),MATCH(ΥΠΟΛΟΓΙΣΜΟΙ!AW46,pin!$X$113:$AN$113,0)))</f>
        <v>1</v>
      </c>
      <c r="BT46" s="203">
        <f>INDEX(pin!$X$114:$AN$132,MATCH(ΥΠΟΛΟΓΙΣΜΟΙ!BO46,pin!$V$114:$V$132,0),MATCH(ΥΠΟΛΟΓΙΣΜΟΙ!AX46,pin!$X$113:$AN$113,0))+0.2*(BO46-AH46)*(INDEX(pin!$X$114:$AN$132,MATCH(ΥΠΟΛΟΓΙΣΜΟΙ!BO46,pin!$V$114:$V$132,0),MATCH(ΥΠΟΛΟΓΙΣΜΟΙ!AX46,pin!$X$113:$AN$113,0))-INDEX(pin!$X$114:$AN$132,MATCH(ΥΠΟΛΟΓΙΣΜΟΙ!BP46,pin!$V$114:$V$132,0),MATCH(ΥΠΟΛΟΓΙΣΜΟΙ!AX46,pin!$X$113:$AN$113,0)))</f>
        <v>1</v>
      </c>
      <c r="BU46" s="187">
        <f t="shared" ref="BU46:BU54" si="101">IF(MROUND(AI46,5)-AI46&lt;=0,MROUND(AI46,5),MROUND(AI46,5)-5)</f>
        <v>0</v>
      </c>
      <c r="BV46" s="188">
        <f t="shared" ref="BV46:BV54" si="102">IF(MROUND(AI46,5)-AI46=0,MROUND(AI46,5),BU46+5)</f>
        <v>0</v>
      </c>
      <c r="BW46" s="188">
        <f>INDEX(pin!$D$90:$T$108,MATCH(ΥΠΟΛΟΓΙΣΜΟΙ!BU46,pin!$B$90:$B$108,0),MATCH(ΥΠΟΛΟΓΙΣΜΟΙ!AW46,pin!$D$89:$T$89,0))+0.2*(BU46-AI46)*(INDEX(pin!$D$90:$T$108,MATCH(ΥΠΟΛΟΓΙΣΜΟΙ!BU46,pin!$B$90:$B$108,0),MATCH(ΥΠΟΛΟΓΙΣΜΟΙ!AW46,pin!$D$89:$T$89,0))-INDEX(pin!$D$90:$T$108,MATCH(ΥΠΟΛΟΓΙΣΜΟΙ!BV46,pin!$B$90:$B$108,0),MATCH(ΥΠΟΛΟΓΙΣΜΟΙ!AW46,pin!$D$89:$T$89,0)))</f>
        <v>1</v>
      </c>
      <c r="BX46" s="203">
        <f>INDEX(pin!$D$90:$T$108,MATCH(ΥΠΟΛΟΓΙΣΜΟΙ!BU46,pin!$B$90:$B$108,0),MATCH(ΥΠΟΛΟΓΙΣΜΟΙ!AX46,pin!$D$89:$T$89,0))+0.2*(BU46-AI46)*(INDEX(pin!$D$90:$T$108,MATCH(ΥΠΟΛΟΓΙΣΜΟΙ!BU46,pin!$B$90:$B$108,0),MATCH(ΥΠΟΛΟΓΙΣΜΟΙ!AX46,pin!$D$89:$T$89,0))-INDEX(pin!$D$90:$T$108,MATCH(ΥΠΟΛΟΓΙΣΜΟΙ!BV46,pin!$B$90:$B$108,0),MATCH(ΥΠΟΛΟΓΙΣΜΟΙ!AX46,pin!$D$89:$T$89,0)))</f>
        <v>1</v>
      </c>
      <c r="BY46" s="188">
        <f>INDEX(pin!$X$90:$AN$108,MATCH(ΥΠΟΛΟΓΙΣΜΟΙ!BU46,pin!$V$90:$V$108,0),MATCH(ΥΠΟΛΟΓΙΣΜΟΙ!AW46,pin!$X$89:$AN$89,0))+0.2*(BU46-AI46)*(INDEX(pin!$X$90:$AN$108,MATCH(ΥΠΟΛΟΓΙΣΜΟΙ!BU46,pin!$V$90:$V$108,0),MATCH(ΥΠΟΛΟΓΙΣΜΟΙ!AW46,pin!$X$89:$AN$89,0))-INDEX(pin!$X$90:$AN$108,MATCH(ΥΠΟΛΟΓΙΣΜΟΙ!BV46,pin!$V$90:$V$108,0),MATCH(ΥΠΟΛΟΓΙΣΜΟΙ!AW46,pin!$X$89:$AN$89,0)))</f>
        <v>1</v>
      </c>
      <c r="BZ46" s="203">
        <f>INDEX(pin!$X$90:$AN$108,MATCH(ΥΠΟΛΟΓΙΣΜΟΙ!BU46,pin!$V$90:$V$108,0),MATCH(ΥΠΟΛΟΓΙΣΜΟΙ!AX46,pin!$X$89:$AN$89,0))+0.2*(BU46-AI46)*(INDEX(pin!$X$90:$AN$108,MATCH(ΥΠΟΛΟΓΙΣΜΟΙ!BU46,pin!$V$90:$V$108,0),MATCH(ΥΠΟΛΟΓΙΣΜΟΙ!AX46,pin!$X$89:$AN$89,0))-INDEX(pin!$X$90:$AN$108,MATCH(ΥΠΟΛΟΓΙΣΜΟΙ!BV46,pin!$V$90:$V$108,0),MATCH(ΥΠΟΛΟΓΙΣΜΟΙ!AX46,pin!$X$89:$AN$89,0)))</f>
        <v>1</v>
      </c>
      <c r="CA46" s="191"/>
    </row>
    <row r="47" spans="1:119" s="34" customFormat="1">
      <c r="A47" s="56">
        <v>2</v>
      </c>
      <c r="B47" s="118"/>
      <c r="C47" s="116"/>
      <c r="D47" s="116"/>
      <c r="E47" s="116"/>
      <c r="F47" s="47" t="str">
        <f t="shared" ref="F47:F54" si="103">IF(C47=0,"-",D47-E47)</f>
        <v>-</v>
      </c>
      <c r="G47" s="81" t="str">
        <f t="shared" ref="G47:G54" si="104">IFERROR(IF(C47&gt;0,C47*F47,-1*C47*F47),"-")</f>
        <v>-</v>
      </c>
      <c r="H47" s="235"/>
      <c r="I47" s="119"/>
      <c r="J47" s="269" t="s">
        <v>607</v>
      </c>
      <c r="K47" s="123"/>
      <c r="L47" s="387"/>
      <c r="M47" s="560" t="s">
        <v>670</v>
      </c>
      <c r="N47" s="561"/>
      <c r="O47" s="46">
        <f t="shared" ref="O47:O54" si="105">IF(C47&gt;=0,BA47+0.0444*(H47-AW47)*(BB47-BA47),0)</f>
        <v>1</v>
      </c>
      <c r="P47" s="120">
        <f t="shared" ref="P47:P54" si="106">IF(C47&gt;=0,BC47+0.0444*(H47-AW47)*(BD47-BC47),0)</f>
        <v>1</v>
      </c>
      <c r="Q47" s="46">
        <f t="shared" ref="Q47:Q54" si="107">IF(C47&gt;=0,BG47+0.0444*(H47-AW47)*(BH47-BG47),0)</f>
        <v>1</v>
      </c>
      <c r="R47" s="120">
        <f t="shared" ref="R47:R54" si="108">IF(C47&gt;=0,IF(AG47=0,BI47+0.0444*(H47-AW47)*(BJ47-BI47),BM47+0.0444*(H47-AW47)*(BN47-BM47)),0)</f>
        <v>1</v>
      </c>
      <c r="S47" s="46">
        <f t="shared" ref="S47:S54" si="109">IF(C47&gt;=0,AJ47*AL47,0)</f>
        <v>1</v>
      </c>
      <c r="T47" s="120">
        <f t="shared" ref="T47:T54" si="110">IF(C47&gt;=0,AK47*AM47,0)</f>
        <v>1</v>
      </c>
      <c r="U47" s="121"/>
      <c r="V47" s="124" t="str">
        <f t="shared" ref="V47:V54" si="111">IF(U47=0,"-",K47-0.5*F47-E47)</f>
        <v>-</v>
      </c>
      <c r="W47" s="116"/>
      <c r="X47" s="124" t="str">
        <f t="shared" ref="X47:X53" si="112">IF(W47=0,"-",L47-0.5*F47-E47)</f>
        <v>-</v>
      </c>
      <c r="Y47" s="152"/>
      <c r="Z47" s="122"/>
      <c r="AA47" s="116"/>
      <c r="AB47" s="116"/>
      <c r="AC47" s="121"/>
      <c r="AD47" s="117"/>
      <c r="AE47" s="204">
        <f t="shared" ref="AE47:AE54" si="113">IFERROR(DEGREES(ATAN(V47/U47)),0)</f>
        <v>0</v>
      </c>
      <c r="AF47" s="180">
        <f t="shared" ref="AF47:AF54" si="114">IFERROR(DEGREES(ATAN(W47/X47)),0)</f>
        <v>0</v>
      </c>
      <c r="AG47" s="206">
        <f t="shared" ref="AG47:AG54" si="115">IF(Y47&gt;0,IF((Z47-0.5*F47-E47)&gt;0,DEGREES(ATAN(Y47/(Z47-0.5*F47-E47))),90),0)</f>
        <v>0</v>
      </c>
      <c r="AH47" s="180">
        <f t="shared" ref="AH47:AH54" si="116">IFERROR(DEGREES(ATAN(AA47/AB47)),0)</f>
        <v>0</v>
      </c>
      <c r="AI47" s="180">
        <f t="shared" ref="AI47:AI54" si="117">IFERROR(DEGREES(ATAN(AC47/AD47)),0)</f>
        <v>0</v>
      </c>
      <c r="AJ47" s="181">
        <f>BQ47+0.0444*(H47-AW47)*(BR47-BQ47)</f>
        <v>1</v>
      </c>
      <c r="AK47" s="181">
        <f t="shared" ref="AK47:AK54" si="118">BS47+0.0444*(H47-AW47)*(BT47-BS47)</f>
        <v>1</v>
      </c>
      <c r="AL47" s="181">
        <f t="shared" ref="AL47:AL54" si="119">BW47+0.0444*(H47-AW47)*(BX47-BW47)</f>
        <v>1</v>
      </c>
      <c r="AM47" s="181">
        <f>BY47+0.0444*(H47-AW47)*(BZ47-BY47)</f>
        <v>1</v>
      </c>
      <c r="AN47" s="187">
        <f t="shared" ref="AN47:AN54" si="120">IF(H47=-1,"-",MROUND(H47, 22.5))</f>
        <v>0</v>
      </c>
      <c r="AO47" s="188"/>
      <c r="AP47" s="188"/>
      <c r="AQ47" s="188"/>
      <c r="AR47" s="188"/>
      <c r="AS47" s="188"/>
      <c r="AT47" s="188"/>
      <c r="AU47" s="188"/>
      <c r="AV47" s="188" t="s">
        <v>256</v>
      </c>
      <c r="AW47" s="188">
        <f t="shared" ref="AW47:AW54" si="121">IF(AN47-H47&lt;=0,AN47,AN47-22.5)</f>
        <v>0</v>
      </c>
      <c r="AX47" s="203">
        <f t="shared" ref="AX47:AX54" si="122">IF(AN47-H47=0,AN47,AW47+22.5)</f>
        <v>0</v>
      </c>
      <c r="AY47" s="187">
        <f t="shared" si="93"/>
        <v>0</v>
      </c>
      <c r="AZ47" s="188">
        <f t="shared" si="94"/>
        <v>0</v>
      </c>
      <c r="BA47" s="188">
        <f>INDEX(pin!$D$6:$T$42,MATCH(ΥΠΟΛΟΓΙΣΜΟΙ!AY47,pin!$B$6:$B$42,0),MATCH(ΥΠΟΛΟΓΙΣΜΟΙ!AW47,pin!$D$5:$T$5,0))+0.4*(AY47-AE47)*(INDEX(pin!$D$6:$T$42,MATCH(ΥΠΟΛΟΓΙΣΜΟΙ!AY47,pin!$B$6:$B$42,0),MATCH(ΥΠΟΛΟΓΙΣΜΟΙ!AW47,pin!$D$5:$T$5,0))-INDEX(pin!$D$6:$T$42,MATCH(ΥΠΟΛΟΓΙΣΜΟΙ!AZ47,pin!$B$6:$B$42,0),MATCH(ΥΠΟΛΟΓΙΣΜΟΙ!AW47,pin!$D$5:$T$5,0)))</f>
        <v>1</v>
      </c>
      <c r="BB47" s="203">
        <f>INDEX(pin!$D$6:$T$42,MATCH(ΥΠΟΛΟΓΙΣΜΟΙ!AY47,pin!$B$6:$B$42,0),MATCH(ΥΠΟΛΟΓΙΣΜΟΙ!AX47,pin!$D$5:$T$5,0))+0.4*(AY47-AE47)*(INDEX(pin!$D$6:$T$42,MATCH(ΥΠΟΛΟΓΙΣΜΟΙ!AY47,pin!$B$6:$B$42,0),MATCH(ΥΠΟΛΟΓΙΣΜΟΙ!AX47,pin!$D$5:$T$5,0))-INDEX(pin!$D$6:$T$42,MATCH(ΥΠΟΛΟΓΙΣΜΟΙ!AZ47,pin!$B$6:$B$42,0),MATCH(ΥΠΟΛΟΓΙΣΜΟΙ!AX47,pin!$D$5:$T$5,0)))</f>
        <v>1</v>
      </c>
      <c r="BC47" s="188">
        <f>INDEX(pin!$X$6:$AN$42,MATCH(ΥΠΟΛΟΓΙΣΜΟΙ!AY47,pin!$V$6:$V$42,0),MATCH(ΥΠΟΛΟΓΙΣΜΟΙ!AW47,pin!$X$5:$AN$5,0))+0.4*(AY47-AE47)*(INDEX(pin!$X$6:$AN$42,MATCH(ΥΠΟΛΟΓΙΣΜΟΙ!AY47,pin!$V$6:$V$42,0),MATCH(ΥΠΟΛΟΓΙΣΜΟΙ!AW47,pin!$X$5:$AN$5,0))-INDEX(pin!$X$6:$AN$42,MATCH(ΥΠΟΛΟΓΙΣΜΟΙ!AZ47,pin!$V$6:$V$42,0),MATCH(ΥΠΟΛΟΓΙΣΜΟΙ!AW47,pin!$X$5:$AN$5,0)))</f>
        <v>1</v>
      </c>
      <c r="BD47" s="188">
        <f>INDEX(pin!$X$6:$AN$42,MATCH(ΥΠΟΛΟΓΙΣΜΟΙ!AY47,pin!$V$6:$V$42,0),MATCH(ΥΠΟΛΟΓΙΣΜΟΙ!AX47,pin!$X$5:$AN$5,0))+0.4*(AY47-AE47)*(INDEX(pin!$X$6:$AN$42,MATCH(ΥΠΟΛΟΓΙΣΜΟΙ!AY47,pin!$V$6:$V$42,0),MATCH(ΥΠΟΛΟΓΙΣΜΟΙ!AX47,pin!$X$5:$AN$5,0))-INDEX(pin!$X$6:$AN$42,MATCH(ΥΠΟΛΟΓΙΣΜΟΙ!AZ47,pin!$V$6:$V$42,0),MATCH(ΥΠΟΛΟΓΙΣΜΟΙ!AX47,pin!$X$5:$AN$5,0)))</f>
        <v>1</v>
      </c>
      <c r="BE47" s="187">
        <f t="shared" si="95"/>
        <v>0</v>
      </c>
      <c r="BF47" s="188">
        <f t="shared" si="96"/>
        <v>0</v>
      </c>
      <c r="BG47" s="188">
        <f>INDEX(pin!$D$48:$T$84,MATCH(ΥΠΟΛΟΓΙΣΜΟΙ!BE47,pin!$B$48:$B$84,0),MATCH(ΥΠΟΛΟΓΙΣΜΟΙ!AW47,pin!$D$47:$T$47,0))+0.4*(BE47-AF47)*(INDEX(pin!$D$48:$T$84,MATCH(ΥΠΟΛΟΓΙΣΜΟΙ!BE47,pin!$B$48:$B$84,0),MATCH(ΥΠΟΛΟΓΙΣΜΟΙ!AW47,pin!$D$47:$T$47,0))-INDEX(pin!$D$48:$T$84,MATCH(ΥΠΟΛΟΓΙΣΜΟΙ!BF47,pin!$B$48:$B$84,0),MATCH(ΥΠΟΛΟΓΙΣΜΟΙ!AW47,pin!$D$47:$T$47,0)))</f>
        <v>1</v>
      </c>
      <c r="BH47" s="188">
        <f>INDEX(pin!$D$48:$T$84,MATCH(ΥΠΟΛΟΓΙΣΜΟΙ!BE47,pin!$B$48:$B$84,0),MATCH(ΥΠΟΛΟΓΙΣΜΟΙ!AX47,pin!$D$47:$T$47,0))+0.4*(BE47-AF47)*(INDEX(pin!$D$48:$T$84,MATCH(ΥΠΟΛΟΓΙΣΜΟΙ!BE47,pin!$B$48:$B$84,0),MATCH(ΥΠΟΛΟΓΙΣΜΟΙ!AX47,pin!$D$47:$T$47,0))-INDEX(pin!$D$48:$T$84,MATCH(ΥΠΟΛΟΓΙΣΜΟΙ!BF47,pin!$B$48:$B$84,0),MATCH(ΥΠΟΛΟΓΙΣΜΟΙ!AX47,pin!$D$47:$T$47,0)))</f>
        <v>1</v>
      </c>
      <c r="BI47" s="187">
        <f>INDEX(pin!$X$48:$AN$84,MATCH(ΥΠΟΛΟΓΙΣΜΟΙ!BE47,pin!$V$48:$V$84,0),MATCH(ΥΠΟΛΟΓΙΣΜΟΙ!AW47,pin!$X$47:$AN$47,0))+0.4*(BE47-AF47)*(INDEX(pin!$X$48:$AN$84,MATCH(ΥΠΟΛΟΓΙΣΜΟΙ!BE47,pin!$V$48:$V$84,0),MATCH(ΥΠΟΛΟΓΙΣΜΟΙ!AW47,pin!$X$47:$AN$47,0))-INDEX(pin!$X$48:$AN$84,MATCH(ΥΠΟΛΟΓΙΣΜΟΙ!BF47,pin!$V$48:$V$84,0),MATCH(ΥΠΟΛΟΓΙΣΜΟΙ!AW47,pin!$X$47:$AN$47,0)))</f>
        <v>1</v>
      </c>
      <c r="BJ47" s="203">
        <f>INDEX(pin!$X$48:$AN$84,MATCH(ΥΠΟΛΟΓΙΣΜΟΙ!BE47,pin!$V$48:$V$84,0),MATCH(ΥΠΟΛΟΓΙΣΜΟΙ!AX47,pin!$X$47:$AN$47,0))+0.4*(BE47-AF47)*(INDEX(pin!$X$48:$AN$84,MATCH(ΥΠΟΛΟΓΙΣΜΟΙ!BE47,pin!$V$48:$V$84,0),MATCH(ΥΠΟΛΟΓΙΣΜΟΙ!AX47,pin!$X$47:$AN$47,0))-INDEX(pin!$X$48:$AN$84,MATCH(ΥΠΟΛΟΓΙΣΜΟΙ!BF47,pin!$V$48:$V$84,0),MATCH(ΥΠΟΛΟΓΙΣΜΟΙ!AX47,pin!$X$47:$AN$47,0)))</f>
        <v>1</v>
      </c>
      <c r="BK47" s="187">
        <f t="shared" si="97"/>
        <v>0</v>
      </c>
      <c r="BL47" s="188">
        <f t="shared" si="98"/>
        <v>0</v>
      </c>
      <c r="BM47" s="188">
        <f>INDEX(pin!$X$48:$AN$84,MATCH(ΥΠΟΛΟΓΙΣΜΟΙ!BK47,pin!$V$48:$V$84,0),MATCH(ΥΠΟΛΟΓΙΣΜΟΙ!AW47,pin!$X$47:$AN$47,0))+0.4*(BK47-AG47)*(INDEX(pin!$X$48:$AN$84,MATCH(ΥΠΟΛΟΓΙΣΜΟΙ!BK47,pin!$V$48:$V$84,0),MATCH(ΥΠΟΛΟΓΙΣΜΟΙ!AW47,pin!$X$47:$AN$47,0))-INDEX(pin!$X$48:$AN$84,MATCH(ΥΠΟΛΟΓΙΣΜΟΙ!BL47,pin!$V$48:$V$84,0),MATCH(ΥΠΟΛΟΓΙΣΜΟΙ!AW47,pin!$X$47:$AN$47,0)))</f>
        <v>1</v>
      </c>
      <c r="BN47" s="203">
        <f>INDEX(pin!$X$48:$AN$84,MATCH(ΥΠΟΛΟΓΙΣΜΟΙ!BK47,pin!$V$48:$V$84,0),MATCH(ΥΠΟΛΟΓΙΣΜΟΙ!AX47,pin!$X$47:$AN$47,0))+0.4*(BK47-AG47)*(INDEX(pin!$X$48:$AN$84,MATCH(ΥΠΟΛΟΓΙΣΜΟΙ!BK47,pin!$V$48:$V$84,0),MATCH(ΥΠΟΛΟΓΙΣΜΟΙ!AX47,pin!$X$47:$AN$47,0))-INDEX(pin!$X$48:$AN$84,MATCH(ΥΠΟΛΟΓΙΣΜΟΙ!BL47,pin!$V$48:$V$84,0),MATCH(ΥΠΟΛΟΓΙΣΜΟΙ!AX47,pin!$X$47:$AN$47,0)))</f>
        <v>1</v>
      </c>
      <c r="BO47" s="187">
        <f t="shared" si="99"/>
        <v>0</v>
      </c>
      <c r="BP47" s="188">
        <f t="shared" si="100"/>
        <v>0</v>
      </c>
      <c r="BQ47" s="188">
        <f>INDEX(pin!$D$114:$T$132,MATCH(ΥΠΟΛΟΓΙΣΜΟΙ!BO47,pin!$B$114:$B$132,0),MATCH(ΥΠΟΛΟΓΙΣΜΟΙ!AW47,pin!$D$113:$T$113,0))+0.2*(BO47-AH47)*(INDEX(pin!$D$114:$T$132,MATCH(ΥΠΟΛΟΓΙΣΜΟΙ!BO47,pin!$B$114:$B$132,0),MATCH(ΥΠΟΛΟΓΙΣΜΟΙ!AW47,pin!$D$113:$T$113,0))-INDEX(pin!$D$114:$T$132,MATCH(ΥΠΟΛΟΓΙΣΜΟΙ!BP47,pin!$B$114:$B$132,0),MATCH(ΥΠΟΛΟΓΙΣΜΟΙ!AW47,pin!$D$113:$T$113,0)))</f>
        <v>1</v>
      </c>
      <c r="BR47" s="188">
        <f>INDEX(pin!$D$114:$T$132,MATCH(ΥΠΟΛΟΓΙΣΜΟΙ!BO47,pin!$B$114:$B$132,0),MATCH(ΥΠΟΛΟΓΙΣΜΟΙ!AX47,pin!$D$113:$T$113,0))+0.2*(BO47-AH47)*(INDEX(pin!$D$114:$T$132,MATCH(ΥΠΟΛΟΓΙΣΜΟΙ!BO47,pin!$B$114:$B$132,0),MATCH(ΥΠΟΛΟΓΙΣΜΟΙ!AX47,pin!$D$113:$T$113,0))-INDEX(pin!$D$114:$T$132,MATCH(ΥΠΟΛΟΓΙΣΜΟΙ!BP47,pin!$B$114:$B$132,0),MATCH(ΥΠΟΛΟΓΙΣΜΟΙ!AX47,pin!$D$113:$T$113,0)))</f>
        <v>1</v>
      </c>
      <c r="BS47" s="187">
        <f>INDEX(pin!$X$114:$AN$132,MATCH(ΥΠΟΛΟΓΙΣΜΟΙ!BO47,pin!$V$114:$V$132,0),MATCH(ΥΠΟΛΟΓΙΣΜΟΙ!AW47,pin!$X$113:$AN$113,0))+0.2*(BO47-AH47)*(INDEX(pin!$X$114:$AN$132,MATCH(ΥΠΟΛΟΓΙΣΜΟΙ!BO47,pin!$V$114:$V$132,0),MATCH(ΥΠΟΛΟΓΙΣΜΟΙ!AW47,pin!$X$113:$AN$113,0))-INDEX(pin!$X$114:$AN$132,MATCH(ΥΠΟΛΟΓΙΣΜΟΙ!BP47,pin!$V$114:$V$132,0),MATCH(ΥΠΟΛΟΓΙΣΜΟΙ!AW47,pin!$X$113:$AN$113,0)))</f>
        <v>1</v>
      </c>
      <c r="BT47" s="203">
        <f>INDEX(pin!$X$114:$AN$132,MATCH(ΥΠΟΛΟΓΙΣΜΟΙ!BO47,pin!$V$114:$V$132,0),MATCH(ΥΠΟΛΟΓΙΣΜΟΙ!AX47,pin!$X$113:$AN$113,0))+0.2*(BO47-AH47)*(INDEX(pin!$X$114:$AN$132,MATCH(ΥΠΟΛΟΓΙΣΜΟΙ!BO47,pin!$V$114:$V$132,0),MATCH(ΥΠΟΛΟΓΙΣΜΟΙ!AX47,pin!$X$113:$AN$113,0))-INDEX(pin!$X$114:$AN$132,MATCH(ΥΠΟΛΟΓΙΣΜΟΙ!BP47,pin!$V$114:$V$132,0),MATCH(ΥΠΟΛΟΓΙΣΜΟΙ!AX47,pin!$X$113:$AN$113,0)))</f>
        <v>1</v>
      </c>
      <c r="BU47" s="187">
        <f t="shared" si="101"/>
        <v>0</v>
      </c>
      <c r="BV47" s="188">
        <f t="shared" si="102"/>
        <v>0</v>
      </c>
      <c r="BW47" s="188">
        <f>INDEX(pin!$D$90:$T$108,MATCH(ΥΠΟΛΟΓΙΣΜΟΙ!BU47,pin!$B$90:$B$108,0),MATCH(ΥΠΟΛΟΓΙΣΜΟΙ!AW47,pin!$D$89:$T$89,0))+0.2*(BU47-AI47)*(INDEX(pin!$D$90:$T$108,MATCH(ΥΠΟΛΟΓΙΣΜΟΙ!BU47,pin!$B$90:$B$108,0),MATCH(ΥΠΟΛΟΓΙΣΜΟΙ!AW47,pin!$D$89:$T$89,0))-INDEX(pin!$D$90:$T$108,MATCH(ΥΠΟΛΟΓΙΣΜΟΙ!BV47,pin!$B$90:$B$108,0),MATCH(ΥΠΟΛΟΓΙΣΜΟΙ!AW47,pin!$D$89:$T$89,0)))</f>
        <v>1</v>
      </c>
      <c r="BX47" s="203">
        <f>INDEX(pin!$D$90:$T$108,MATCH(ΥΠΟΛΟΓΙΣΜΟΙ!BU47,pin!$B$90:$B$108,0),MATCH(ΥΠΟΛΟΓΙΣΜΟΙ!AX47,pin!$D$89:$T$89,0))+0.2*(BU47-AI47)*(INDEX(pin!$D$90:$T$108,MATCH(ΥΠΟΛΟΓΙΣΜΟΙ!BU47,pin!$B$90:$B$108,0),MATCH(ΥΠΟΛΟΓΙΣΜΟΙ!AX47,pin!$D$89:$T$89,0))-INDEX(pin!$D$90:$T$108,MATCH(ΥΠΟΛΟΓΙΣΜΟΙ!BV47,pin!$B$90:$B$108,0),MATCH(ΥΠΟΛΟΓΙΣΜΟΙ!AX47,pin!$D$89:$T$89,0)))</f>
        <v>1</v>
      </c>
      <c r="BY47" s="188">
        <f>INDEX(pin!$X$90:$AN$108,MATCH(ΥΠΟΛΟΓΙΣΜΟΙ!BU47,pin!$V$90:$V$108,0),MATCH(ΥΠΟΛΟΓΙΣΜΟΙ!AW47,pin!$X$89:$AN$89,0))+0.2*(BU47-AI47)*(INDEX(pin!$X$90:$AN$108,MATCH(ΥΠΟΛΟΓΙΣΜΟΙ!BU47,pin!$V$90:$V$108,0),MATCH(ΥΠΟΛΟΓΙΣΜΟΙ!AW47,pin!$X$89:$AN$89,0))-INDEX(pin!$X$90:$AN$108,MATCH(ΥΠΟΛΟΓΙΣΜΟΙ!BV47,pin!$V$90:$V$108,0),MATCH(ΥΠΟΛΟΓΙΣΜΟΙ!AW47,pin!$X$89:$AN$89,0)))</f>
        <v>1</v>
      </c>
      <c r="BZ47" s="203">
        <f>INDEX(pin!$X$90:$AN$108,MATCH(ΥΠΟΛΟΓΙΣΜΟΙ!BU47,pin!$V$90:$V$108,0),MATCH(ΥΠΟΛΟΓΙΣΜΟΙ!AX47,pin!$X$89:$AN$89,0))+0.2*(BU47-AI47)*(INDEX(pin!$X$90:$AN$108,MATCH(ΥΠΟΛΟΓΙΣΜΟΙ!BU47,pin!$V$90:$V$108,0),MATCH(ΥΠΟΛΟΓΙΣΜΟΙ!AX47,pin!$X$89:$AN$89,0))-INDEX(pin!$X$90:$AN$108,MATCH(ΥΠΟΛΟΓΙΣΜΟΙ!BV47,pin!$V$90:$V$108,0),MATCH(ΥΠΟΛΟΓΙΣΜΟΙ!AX47,pin!$X$89:$AN$89,0)))</f>
        <v>1</v>
      </c>
      <c r="CA47" s="189"/>
      <c r="DO47" s="34" t="s">
        <v>670</v>
      </c>
    </row>
    <row r="48" spans="1:119" s="34" customFormat="1">
      <c r="A48" s="56">
        <v>3</v>
      </c>
      <c r="B48" s="118"/>
      <c r="C48" s="116"/>
      <c r="D48" s="116"/>
      <c r="E48" s="116"/>
      <c r="F48" s="47" t="str">
        <f t="shared" si="103"/>
        <v>-</v>
      </c>
      <c r="G48" s="81" t="str">
        <f t="shared" si="104"/>
        <v>-</v>
      </c>
      <c r="H48" s="235"/>
      <c r="I48" s="119"/>
      <c r="J48" s="269" t="s">
        <v>607</v>
      </c>
      <c r="K48" s="123"/>
      <c r="L48" s="387"/>
      <c r="M48" s="560" t="s">
        <v>670</v>
      </c>
      <c r="N48" s="561"/>
      <c r="O48" s="46">
        <f t="shared" si="105"/>
        <v>1</v>
      </c>
      <c r="P48" s="120">
        <f t="shared" si="106"/>
        <v>1</v>
      </c>
      <c r="Q48" s="46">
        <f t="shared" si="107"/>
        <v>1</v>
      </c>
      <c r="R48" s="120">
        <f t="shared" si="108"/>
        <v>1</v>
      </c>
      <c r="S48" s="46">
        <f t="shared" si="109"/>
        <v>1</v>
      </c>
      <c r="T48" s="120">
        <f t="shared" si="110"/>
        <v>1</v>
      </c>
      <c r="U48" s="121"/>
      <c r="V48" s="124" t="str">
        <f t="shared" si="111"/>
        <v>-</v>
      </c>
      <c r="W48" s="116"/>
      <c r="X48" s="124" t="str">
        <f t="shared" si="112"/>
        <v>-</v>
      </c>
      <c r="Y48" s="152"/>
      <c r="Z48" s="122"/>
      <c r="AA48" s="116"/>
      <c r="AB48" s="116"/>
      <c r="AC48" s="121"/>
      <c r="AD48" s="117"/>
      <c r="AE48" s="204">
        <f t="shared" si="113"/>
        <v>0</v>
      </c>
      <c r="AF48" s="180">
        <f t="shared" si="114"/>
        <v>0</v>
      </c>
      <c r="AG48" s="206">
        <f t="shared" si="115"/>
        <v>0</v>
      </c>
      <c r="AH48" s="180">
        <f t="shared" si="116"/>
        <v>0</v>
      </c>
      <c r="AI48" s="180">
        <f t="shared" si="117"/>
        <v>0</v>
      </c>
      <c r="AJ48" s="181">
        <f t="shared" ref="AJ48:AJ54" si="123">BQ48+0.0444*(H48-AW48)*(BR48-BQ48)</f>
        <v>1</v>
      </c>
      <c r="AK48" s="181">
        <f t="shared" si="118"/>
        <v>1</v>
      </c>
      <c r="AL48" s="181">
        <f t="shared" si="119"/>
        <v>1</v>
      </c>
      <c r="AM48" s="181">
        <f t="shared" ref="AM48:AM54" si="124">BY48+0.0444*(H48-AW48)*(BZ48-BY48)</f>
        <v>1</v>
      </c>
      <c r="AN48" s="187">
        <f t="shared" si="120"/>
        <v>0</v>
      </c>
      <c r="AO48" s="188"/>
      <c r="AP48" s="188"/>
      <c r="AQ48" s="188"/>
      <c r="AR48" s="188"/>
      <c r="AS48" s="188"/>
      <c r="AT48" s="188"/>
      <c r="AU48" s="188"/>
      <c r="AV48" s="188" t="s">
        <v>256</v>
      </c>
      <c r="AW48" s="188">
        <f t="shared" si="121"/>
        <v>0</v>
      </c>
      <c r="AX48" s="203">
        <f t="shared" si="122"/>
        <v>0</v>
      </c>
      <c r="AY48" s="187">
        <f t="shared" si="93"/>
        <v>0</v>
      </c>
      <c r="AZ48" s="188">
        <f t="shared" si="94"/>
        <v>0</v>
      </c>
      <c r="BA48" s="188">
        <f>INDEX(pin!$D$6:$T$42,MATCH(ΥΠΟΛΟΓΙΣΜΟΙ!AY48,pin!$B$6:$B$42,0),MATCH(ΥΠΟΛΟΓΙΣΜΟΙ!AW48,pin!$D$5:$T$5,0))+0.4*(AY48-AE48)*(INDEX(pin!$D$6:$T$42,MATCH(ΥΠΟΛΟΓΙΣΜΟΙ!AY48,pin!$B$6:$B$42,0),MATCH(ΥΠΟΛΟΓΙΣΜΟΙ!AW48,pin!$D$5:$T$5,0))-INDEX(pin!$D$6:$T$42,MATCH(ΥΠΟΛΟΓΙΣΜΟΙ!AZ48,pin!$B$6:$B$42,0),MATCH(ΥΠΟΛΟΓΙΣΜΟΙ!AW48,pin!$D$5:$T$5,0)))</f>
        <v>1</v>
      </c>
      <c r="BB48" s="203">
        <f>INDEX(pin!$D$6:$T$42,MATCH(ΥΠΟΛΟΓΙΣΜΟΙ!AY48,pin!$B$6:$B$42,0),MATCH(ΥΠΟΛΟΓΙΣΜΟΙ!AX48,pin!$D$5:$T$5,0))+0.4*(AY48-AE48)*(INDEX(pin!$D$6:$T$42,MATCH(ΥΠΟΛΟΓΙΣΜΟΙ!AY48,pin!$B$6:$B$42,0),MATCH(ΥΠΟΛΟΓΙΣΜΟΙ!AX48,pin!$D$5:$T$5,0))-INDEX(pin!$D$6:$T$42,MATCH(ΥΠΟΛΟΓΙΣΜΟΙ!AZ48,pin!$B$6:$B$42,0),MATCH(ΥΠΟΛΟΓΙΣΜΟΙ!AX48,pin!$D$5:$T$5,0)))</f>
        <v>1</v>
      </c>
      <c r="BC48" s="188">
        <f>INDEX(pin!$X$6:$AN$42,MATCH(ΥΠΟΛΟΓΙΣΜΟΙ!AY48,pin!$V$6:$V$42,0),MATCH(ΥΠΟΛΟΓΙΣΜΟΙ!AW48,pin!$X$5:$AN$5,0))+0.4*(AY48-AE48)*(INDEX(pin!$X$6:$AN$42,MATCH(ΥΠΟΛΟΓΙΣΜΟΙ!AY48,pin!$V$6:$V$42,0),MATCH(ΥΠΟΛΟΓΙΣΜΟΙ!AW48,pin!$X$5:$AN$5,0))-INDEX(pin!$X$6:$AN$42,MATCH(ΥΠΟΛΟΓΙΣΜΟΙ!AZ48,pin!$V$6:$V$42,0),MATCH(ΥΠΟΛΟΓΙΣΜΟΙ!AW48,pin!$X$5:$AN$5,0)))</f>
        <v>1</v>
      </c>
      <c r="BD48" s="188">
        <f>INDEX(pin!$X$6:$AN$42,MATCH(ΥΠΟΛΟΓΙΣΜΟΙ!AY48,pin!$V$6:$V$42,0),MATCH(ΥΠΟΛΟΓΙΣΜΟΙ!AX48,pin!$X$5:$AN$5,0))+0.4*(AY48-AE48)*(INDEX(pin!$X$6:$AN$42,MATCH(ΥΠΟΛΟΓΙΣΜΟΙ!AY48,pin!$V$6:$V$42,0),MATCH(ΥΠΟΛΟΓΙΣΜΟΙ!AX48,pin!$X$5:$AN$5,0))-INDEX(pin!$X$6:$AN$42,MATCH(ΥΠΟΛΟΓΙΣΜΟΙ!AZ48,pin!$V$6:$V$42,0),MATCH(ΥΠΟΛΟΓΙΣΜΟΙ!AX48,pin!$X$5:$AN$5,0)))</f>
        <v>1</v>
      </c>
      <c r="BE48" s="187">
        <f t="shared" si="95"/>
        <v>0</v>
      </c>
      <c r="BF48" s="188">
        <f t="shared" si="96"/>
        <v>0</v>
      </c>
      <c r="BG48" s="188">
        <f>INDEX(pin!$D$48:$T$84,MATCH(ΥΠΟΛΟΓΙΣΜΟΙ!BE48,pin!$B$48:$B$84,0),MATCH(ΥΠΟΛΟΓΙΣΜΟΙ!AW48,pin!$D$47:$T$47,0))+0.4*(BE48-AF48)*(INDEX(pin!$D$48:$T$84,MATCH(ΥΠΟΛΟΓΙΣΜΟΙ!BE48,pin!$B$48:$B$84,0),MATCH(ΥΠΟΛΟΓΙΣΜΟΙ!AW48,pin!$D$47:$T$47,0))-INDEX(pin!$D$48:$T$84,MATCH(ΥΠΟΛΟΓΙΣΜΟΙ!BF48,pin!$B$48:$B$84,0),MATCH(ΥΠΟΛΟΓΙΣΜΟΙ!AW48,pin!$D$47:$T$47,0)))</f>
        <v>1</v>
      </c>
      <c r="BH48" s="188">
        <f>INDEX(pin!$D$48:$T$84,MATCH(ΥΠΟΛΟΓΙΣΜΟΙ!BE48,pin!$B$48:$B$84,0),MATCH(ΥΠΟΛΟΓΙΣΜΟΙ!AX48,pin!$D$47:$T$47,0))+0.4*(BE48-AF48)*(INDEX(pin!$D$48:$T$84,MATCH(ΥΠΟΛΟΓΙΣΜΟΙ!BE48,pin!$B$48:$B$84,0),MATCH(ΥΠΟΛΟΓΙΣΜΟΙ!AX48,pin!$D$47:$T$47,0))-INDEX(pin!$D$48:$T$84,MATCH(ΥΠΟΛΟΓΙΣΜΟΙ!BF48,pin!$B$48:$B$84,0),MATCH(ΥΠΟΛΟΓΙΣΜΟΙ!AX48,pin!$D$47:$T$47,0)))</f>
        <v>1</v>
      </c>
      <c r="BI48" s="187">
        <f>INDEX(pin!$X$48:$AN$84,MATCH(ΥΠΟΛΟΓΙΣΜΟΙ!BE48,pin!$V$48:$V$84,0),MATCH(ΥΠΟΛΟΓΙΣΜΟΙ!AW48,pin!$X$47:$AN$47,0))+0.4*(BE48-AF48)*(INDEX(pin!$X$48:$AN$84,MATCH(ΥΠΟΛΟΓΙΣΜΟΙ!BE48,pin!$V$48:$V$84,0),MATCH(ΥΠΟΛΟΓΙΣΜΟΙ!AW48,pin!$X$47:$AN$47,0))-INDEX(pin!$X$48:$AN$84,MATCH(ΥΠΟΛΟΓΙΣΜΟΙ!BF48,pin!$V$48:$V$84,0),MATCH(ΥΠΟΛΟΓΙΣΜΟΙ!AW48,pin!$X$47:$AN$47,0)))</f>
        <v>1</v>
      </c>
      <c r="BJ48" s="203">
        <f>INDEX(pin!$X$48:$AN$84,MATCH(ΥΠΟΛΟΓΙΣΜΟΙ!BE48,pin!$V$48:$V$84,0),MATCH(ΥΠΟΛΟΓΙΣΜΟΙ!AX48,pin!$X$47:$AN$47,0))+0.4*(BE48-AF48)*(INDEX(pin!$X$48:$AN$84,MATCH(ΥΠΟΛΟΓΙΣΜΟΙ!BE48,pin!$V$48:$V$84,0),MATCH(ΥΠΟΛΟΓΙΣΜΟΙ!AX48,pin!$X$47:$AN$47,0))-INDEX(pin!$X$48:$AN$84,MATCH(ΥΠΟΛΟΓΙΣΜΟΙ!BF48,pin!$V$48:$V$84,0),MATCH(ΥΠΟΛΟΓΙΣΜΟΙ!AX48,pin!$X$47:$AN$47,0)))</f>
        <v>1</v>
      </c>
      <c r="BK48" s="187">
        <f t="shared" si="97"/>
        <v>0</v>
      </c>
      <c r="BL48" s="188">
        <f t="shared" si="98"/>
        <v>0</v>
      </c>
      <c r="BM48" s="188">
        <f>INDEX(pin!$X$48:$AN$84,MATCH(ΥΠΟΛΟΓΙΣΜΟΙ!BK48,pin!$V$48:$V$84,0),MATCH(ΥΠΟΛΟΓΙΣΜΟΙ!AW48,pin!$X$47:$AN$47,0))+0.4*(BK48-AG48)*(INDEX(pin!$X$48:$AN$84,MATCH(ΥΠΟΛΟΓΙΣΜΟΙ!BK48,pin!$V$48:$V$84,0),MATCH(ΥΠΟΛΟΓΙΣΜΟΙ!AW48,pin!$X$47:$AN$47,0))-INDEX(pin!$X$48:$AN$84,MATCH(ΥΠΟΛΟΓΙΣΜΟΙ!BL48,pin!$V$48:$V$84,0),MATCH(ΥΠΟΛΟΓΙΣΜΟΙ!AW48,pin!$X$47:$AN$47,0)))</f>
        <v>1</v>
      </c>
      <c r="BN48" s="203">
        <f>INDEX(pin!$X$48:$AN$84,MATCH(ΥΠΟΛΟΓΙΣΜΟΙ!BK48,pin!$V$48:$V$84,0),MATCH(ΥΠΟΛΟΓΙΣΜΟΙ!AX48,pin!$X$47:$AN$47,0))+0.4*(BK48-AG48)*(INDEX(pin!$X$48:$AN$84,MATCH(ΥΠΟΛΟΓΙΣΜΟΙ!BK48,pin!$V$48:$V$84,0),MATCH(ΥΠΟΛΟΓΙΣΜΟΙ!AX48,pin!$X$47:$AN$47,0))-INDEX(pin!$X$48:$AN$84,MATCH(ΥΠΟΛΟΓΙΣΜΟΙ!BL48,pin!$V$48:$V$84,0),MATCH(ΥΠΟΛΟΓΙΣΜΟΙ!AX48,pin!$X$47:$AN$47,0)))</f>
        <v>1</v>
      </c>
      <c r="BO48" s="187">
        <f t="shared" si="99"/>
        <v>0</v>
      </c>
      <c r="BP48" s="188">
        <f t="shared" si="100"/>
        <v>0</v>
      </c>
      <c r="BQ48" s="188">
        <f>INDEX(pin!$D$114:$T$132,MATCH(ΥΠΟΛΟΓΙΣΜΟΙ!BO48,pin!$B$114:$B$132,0),MATCH(ΥΠΟΛΟΓΙΣΜΟΙ!AW48,pin!$D$113:$T$113,0))+0.2*(BO48-AH48)*(INDEX(pin!$D$114:$T$132,MATCH(ΥΠΟΛΟΓΙΣΜΟΙ!BO48,pin!$B$114:$B$132,0),MATCH(ΥΠΟΛΟΓΙΣΜΟΙ!AW48,pin!$D$113:$T$113,0))-INDEX(pin!$D$114:$T$132,MATCH(ΥΠΟΛΟΓΙΣΜΟΙ!BP48,pin!$B$114:$B$132,0),MATCH(ΥΠΟΛΟΓΙΣΜΟΙ!AW48,pin!$D$113:$T$113,0)))</f>
        <v>1</v>
      </c>
      <c r="BR48" s="188">
        <f>INDEX(pin!$D$114:$T$132,MATCH(ΥΠΟΛΟΓΙΣΜΟΙ!BO48,pin!$B$114:$B$132,0),MATCH(ΥΠΟΛΟΓΙΣΜΟΙ!AX48,pin!$D$113:$T$113,0))+0.2*(BO48-AH48)*(INDEX(pin!$D$114:$T$132,MATCH(ΥΠΟΛΟΓΙΣΜΟΙ!BO48,pin!$B$114:$B$132,0),MATCH(ΥΠΟΛΟΓΙΣΜΟΙ!AX48,pin!$D$113:$T$113,0))-INDEX(pin!$D$114:$T$132,MATCH(ΥΠΟΛΟΓΙΣΜΟΙ!BP48,pin!$B$114:$B$132,0),MATCH(ΥΠΟΛΟΓΙΣΜΟΙ!AX48,pin!$D$113:$T$113,0)))</f>
        <v>1</v>
      </c>
      <c r="BS48" s="187">
        <f>INDEX(pin!$X$114:$AN$132,MATCH(ΥΠΟΛΟΓΙΣΜΟΙ!BO48,pin!$V$114:$V$132,0),MATCH(ΥΠΟΛΟΓΙΣΜΟΙ!AW48,pin!$X$113:$AN$113,0))+0.2*(BO48-AH48)*(INDEX(pin!$X$114:$AN$132,MATCH(ΥΠΟΛΟΓΙΣΜΟΙ!BO48,pin!$V$114:$V$132,0),MATCH(ΥΠΟΛΟΓΙΣΜΟΙ!AW48,pin!$X$113:$AN$113,0))-INDEX(pin!$X$114:$AN$132,MATCH(ΥΠΟΛΟΓΙΣΜΟΙ!BP48,pin!$V$114:$V$132,0),MATCH(ΥΠΟΛΟΓΙΣΜΟΙ!AW48,pin!$X$113:$AN$113,0)))</f>
        <v>1</v>
      </c>
      <c r="BT48" s="203">
        <f>INDEX(pin!$X$114:$AN$132,MATCH(ΥΠΟΛΟΓΙΣΜΟΙ!BO48,pin!$V$114:$V$132,0),MATCH(ΥΠΟΛΟΓΙΣΜΟΙ!AX48,pin!$X$113:$AN$113,0))+0.2*(BO48-AH48)*(INDEX(pin!$X$114:$AN$132,MATCH(ΥΠΟΛΟΓΙΣΜΟΙ!BO48,pin!$V$114:$V$132,0),MATCH(ΥΠΟΛΟΓΙΣΜΟΙ!AX48,pin!$X$113:$AN$113,0))-INDEX(pin!$X$114:$AN$132,MATCH(ΥΠΟΛΟΓΙΣΜΟΙ!BP48,pin!$V$114:$V$132,0),MATCH(ΥΠΟΛΟΓΙΣΜΟΙ!AX48,pin!$X$113:$AN$113,0)))</f>
        <v>1</v>
      </c>
      <c r="BU48" s="187">
        <f t="shared" si="101"/>
        <v>0</v>
      </c>
      <c r="BV48" s="188">
        <f t="shared" si="102"/>
        <v>0</v>
      </c>
      <c r="BW48" s="188">
        <f>INDEX(pin!$D$90:$T$108,MATCH(ΥΠΟΛΟΓΙΣΜΟΙ!BU48,pin!$B$90:$B$108,0),MATCH(ΥΠΟΛΟΓΙΣΜΟΙ!AW48,pin!$D$89:$T$89,0))+0.2*(BU48-AI48)*(INDEX(pin!$D$90:$T$108,MATCH(ΥΠΟΛΟΓΙΣΜΟΙ!BU48,pin!$B$90:$B$108,0),MATCH(ΥΠΟΛΟΓΙΣΜΟΙ!AW48,pin!$D$89:$T$89,0))-INDEX(pin!$D$90:$T$108,MATCH(ΥΠΟΛΟΓΙΣΜΟΙ!BV48,pin!$B$90:$B$108,0),MATCH(ΥΠΟΛΟΓΙΣΜΟΙ!AW48,pin!$D$89:$T$89,0)))</f>
        <v>1</v>
      </c>
      <c r="BX48" s="203">
        <f>INDEX(pin!$D$90:$T$108,MATCH(ΥΠΟΛΟΓΙΣΜΟΙ!BU48,pin!$B$90:$B$108,0),MATCH(ΥΠΟΛΟΓΙΣΜΟΙ!AX48,pin!$D$89:$T$89,0))+0.2*(BU48-AI48)*(INDEX(pin!$D$90:$T$108,MATCH(ΥΠΟΛΟΓΙΣΜΟΙ!BU48,pin!$B$90:$B$108,0),MATCH(ΥΠΟΛΟΓΙΣΜΟΙ!AX48,pin!$D$89:$T$89,0))-INDEX(pin!$D$90:$T$108,MATCH(ΥΠΟΛΟΓΙΣΜΟΙ!BV48,pin!$B$90:$B$108,0),MATCH(ΥΠΟΛΟΓΙΣΜΟΙ!AX48,pin!$D$89:$T$89,0)))</f>
        <v>1</v>
      </c>
      <c r="BY48" s="188">
        <f>INDEX(pin!$X$90:$AN$108,MATCH(ΥΠΟΛΟΓΙΣΜΟΙ!BU48,pin!$V$90:$V$108,0),MATCH(ΥΠΟΛΟΓΙΣΜΟΙ!AW48,pin!$X$89:$AN$89,0))+0.2*(BU48-AI48)*(INDEX(pin!$X$90:$AN$108,MATCH(ΥΠΟΛΟΓΙΣΜΟΙ!BU48,pin!$V$90:$V$108,0),MATCH(ΥΠΟΛΟΓΙΣΜΟΙ!AW48,pin!$X$89:$AN$89,0))-INDEX(pin!$X$90:$AN$108,MATCH(ΥΠΟΛΟΓΙΣΜΟΙ!BV48,pin!$V$90:$V$108,0),MATCH(ΥΠΟΛΟΓΙΣΜΟΙ!AW48,pin!$X$89:$AN$89,0)))</f>
        <v>1</v>
      </c>
      <c r="BZ48" s="203">
        <f>INDEX(pin!$X$90:$AN$108,MATCH(ΥΠΟΛΟΓΙΣΜΟΙ!BU48,pin!$V$90:$V$108,0),MATCH(ΥΠΟΛΟΓΙΣΜΟΙ!AX48,pin!$X$89:$AN$89,0))+0.2*(BU48-AI48)*(INDEX(pin!$X$90:$AN$108,MATCH(ΥΠΟΛΟΓΙΣΜΟΙ!BU48,pin!$V$90:$V$108,0),MATCH(ΥΠΟΛΟΓΙΣΜΟΙ!AX48,pin!$X$89:$AN$89,0))-INDEX(pin!$X$90:$AN$108,MATCH(ΥΠΟΛΟΓΙΣΜΟΙ!BV48,pin!$V$90:$V$108,0),MATCH(ΥΠΟΛΟΓΙΣΜΟΙ!AX48,pin!$X$89:$AN$89,0)))</f>
        <v>1</v>
      </c>
      <c r="CA48" s="189"/>
      <c r="DO48" s="34" t="s">
        <v>711</v>
      </c>
    </row>
    <row r="49" spans="1:119" s="34" customFormat="1">
      <c r="A49" s="56">
        <v>4</v>
      </c>
      <c r="B49" s="118"/>
      <c r="C49" s="116"/>
      <c r="D49" s="116"/>
      <c r="E49" s="116"/>
      <c r="F49" s="47" t="str">
        <f t="shared" si="103"/>
        <v>-</v>
      </c>
      <c r="G49" s="81" t="str">
        <f t="shared" si="104"/>
        <v>-</v>
      </c>
      <c r="H49" s="235"/>
      <c r="I49" s="119"/>
      <c r="J49" s="269" t="s">
        <v>607</v>
      </c>
      <c r="K49" s="123"/>
      <c r="L49" s="387"/>
      <c r="M49" s="560" t="s">
        <v>670</v>
      </c>
      <c r="N49" s="561"/>
      <c r="O49" s="46">
        <f t="shared" si="105"/>
        <v>1</v>
      </c>
      <c r="P49" s="120">
        <f t="shared" si="106"/>
        <v>1</v>
      </c>
      <c r="Q49" s="46">
        <f t="shared" si="107"/>
        <v>1</v>
      </c>
      <c r="R49" s="120">
        <f t="shared" si="108"/>
        <v>1</v>
      </c>
      <c r="S49" s="46">
        <f t="shared" si="109"/>
        <v>1</v>
      </c>
      <c r="T49" s="120">
        <f t="shared" si="110"/>
        <v>1</v>
      </c>
      <c r="U49" s="121"/>
      <c r="V49" s="124" t="str">
        <f t="shared" si="111"/>
        <v>-</v>
      </c>
      <c r="W49" s="116"/>
      <c r="X49" s="124" t="str">
        <f t="shared" si="112"/>
        <v>-</v>
      </c>
      <c r="Y49" s="152"/>
      <c r="Z49" s="122"/>
      <c r="AA49" s="116"/>
      <c r="AB49" s="116"/>
      <c r="AC49" s="121"/>
      <c r="AD49" s="117"/>
      <c r="AE49" s="204">
        <f t="shared" si="113"/>
        <v>0</v>
      </c>
      <c r="AF49" s="180">
        <f t="shared" si="114"/>
        <v>0</v>
      </c>
      <c r="AG49" s="206">
        <f t="shared" si="115"/>
        <v>0</v>
      </c>
      <c r="AH49" s="180">
        <f t="shared" si="116"/>
        <v>0</v>
      </c>
      <c r="AI49" s="180">
        <f t="shared" si="117"/>
        <v>0</v>
      </c>
      <c r="AJ49" s="181">
        <f t="shared" si="123"/>
        <v>1</v>
      </c>
      <c r="AK49" s="181">
        <f t="shared" si="118"/>
        <v>1</v>
      </c>
      <c r="AL49" s="181">
        <f t="shared" si="119"/>
        <v>1</v>
      </c>
      <c r="AM49" s="181">
        <f t="shared" si="124"/>
        <v>1</v>
      </c>
      <c r="AN49" s="187">
        <f t="shared" si="120"/>
        <v>0</v>
      </c>
      <c r="AO49" s="188"/>
      <c r="AP49" s="188"/>
      <c r="AQ49" s="188"/>
      <c r="AR49" s="188"/>
      <c r="AS49" s="188"/>
      <c r="AT49" s="188"/>
      <c r="AU49" s="188"/>
      <c r="AV49" s="188" t="s">
        <v>256</v>
      </c>
      <c r="AW49" s="188">
        <f t="shared" si="121"/>
        <v>0</v>
      </c>
      <c r="AX49" s="203">
        <f t="shared" si="122"/>
        <v>0</v>
      </c>
      <c r="AY49" s="187">
        <f t="shared" si="93"/>
        <v>0</v>
      </c>
      <c r="AZ49" s="188">
        <f t="shared" si="94"/>
        <v>0</v>
      </c>
      <c r="BA49" s="188">
        <f>INDEX(pin!$D$6:$T$42,MATCH(ΥΠΟΛΟΓΙΣΜΟΙ!AY49,pin!$B$6:$B$42,0),MATCH(ΥΠΟΛΟΓΙΣΜΟΙ!AW49,pin!$D$5:$T$5,0))+0.4*(AY49-AE49)*(INDEX(pin!$D$6:$T$42,MATCH(ΥΠΟΛΟΓΙΣΜΟΙ!AY49,pin!$B$6:$B$42,0),MATCH(ΥΠΟΛΟΓΙΣΜΟΙ!AW49,pin!$D$5:$T$5,0))-INDEX(pin!$D$6:$T$42,MATCH(ΥΠΟΛΟΓΙΣΜΟΙ!AZ49,pin!$B$6:$B$42,0),MATCH(ΥΠΟΛΟΓΙΣΜΟΙ!AW49,pin!$D$5:$T$5,0)))</f>
        <v>1</v>
      </c>
      <c r="BB49" s="203">
        <f>INDEX(pin!$D$6:$T$42,MATCH(ΥΠΟΛΟΓΙΣΜΟΙ!AY49,pin!$B$6:$B$42,0),MATCH(ΥΠΟΛΟΓΙΣΜΟΙ!AX49,pin!$D$5:$T$5,0))+0.4*(AY49-AE49)*(INDEX(pin!$D$6:$T$42,MATCH(ΥΠΟΛΟΓΙΣΜΟΙ!AY49,pin!$B$6:$B$42,0),MATCH(ΥΠΟΛΟΓΙΣΜΟΙ!AX49,pin!$D$5:$T$5,0))-INDEX(pin!$D$6:$T$42,MATCH(ΥΠΟΛΟΓΙΣΜΟΙ!AZ49,pin!$B$6:$B$42,0),MATCH(ΥΠΟΛΟΓΙΣΜΟΙ!AX49,pin!$D$5:$T$5,0)))</f>
        <v>1</v>
      </c>
      <c r="BC49" s="188">
        <f>INDEX(pin!$X$6:$AN$42,MATCH(ΥΠΟΛΟΓΙΣΜΟΙ!AY49,pin!$V$6:$V$42,0),MATCH(ΥΠΟΛΟΓΙΣΜΟΙ!AW49,pin!$X$5:$AN$5,0))+0.4*(AY49-AE49)*(INDEX(pin!$X$6:$AN$42,MATCH(ΥΠΟΛΟΓΙΣΜΟΙ!AY49,pin!$V$6:$V$42,0),MATCH(ΥΠΟΛΟΓΙΣΜΟΙ!AW49,pin!$X$5:$AN$5,0))-INDEX(pin!$X$6:$AN$42,MATCH(ΥΠΟΛΟΓΙΣΜΟΙ!AZ49,pin!$V$6:$V$42,0),MATCH(ΥΠΟΛΟΓΙΣΜΟΙ!AW49,pin!$X$5:$AN$5,0)))</f>
        <v>1</v>
      </c>
      <c r="BD49" s="188">
        <f>INDEX(pin!$X$6:$AN$42,MATCH(ΥΠΟΛΟΓΙΣΜΟΙ!AY49,pin!$V$6:$V$42,0),MATCH(ΥΠΟΛΟΓΙΣΜΟΙ!AX49,pin!$X$5:$AN$5,0))+0.4*(AY49-AE49)*(INDEX(pin!$X$6:$AN$42,MATCH(ΥΠΟΛΟΓΙΣΜΟΙ!AY49,pin!$V$6:$V$42,0),MATCH(ΥΠΟΛΟΓΙΣΜΟΙ!AX49,pin!$X$5:$AN$5,0))-INDEX(pin!$X$6:$AN$42,MATCH(ΥΠΟΛΟΓΙΣΜΟΙ!AZ49,pin!$V$6:$V$42,0),MATCH(ΥΠΟΛΟΓΙΣΜΟΙ!AX49,pin!$X$5:$AN$5,0)))</f>
        <v>1</v>
      </c>
      <c r="BE49" s="187">
        <f t="shared" si="95"/>
        <v>0</v>
      </c>
      <c r="BF49" s="188">
        <f t="shared" si="96"/>
        <v>0</v>
      </c>
      <c r="BG49" s="188">
        <f>INDEX(pin!$D$48:$T$84,MATCH(ΥΠΟΛΟΓΙΣΜΟΙ!BE49,pin!$B$48:$B$84,0),MATCH(ΥΠΟΛΟΓΙΣΜΟΙ!AW49,pin!$D$47:$T$47,0))+0.4*(BE49-AF49)*(INDEX(pin!$D$48:$T$84,MATCH(ΥΠΟΛΟΓΙΣΜΟΙ!BE49,pin!$B$48:$B$84,0),MATCH(ΥΠΟΛΟΓΙΣΜΟΙ!AW49,pin!$D$47:$T$47,0))-INDEX(pin!$D$48:$T$84,MATCH(ΥΠΟΛΟΓΙΣΜΟΙ!BF49,pin!$B$48:$B$84,0),MATCH(ΥΠΟΛΟΓΙΣΜΟΙ!AW49,pin!$D$47:$T$47,0)))</f>
        <v>1</v>
      </c>
      <c r="BH49" s="188">
        <f>INDEX(pin!$D$48:$T$84,MATCH(ΥΠΟΛΟΓΙΣΜΟΙ!BE49,pin!$B$48:$B$84,0),MATCH(ΥΠΟΛΟΓΙΣΜΟΙ!AX49,pin!$D$47:$T$47,0))+0.4*(BE49-AF49)*(INDEX(pin!$D$48:$T$84,MATCH(ΥΠΟΛΟΓΙΣΜΟΙ!BE49,pin!$B$48:$B$84,0),MATCH(ΥΠΟΛΟΓΙΣΜΟΙ!AX49,pin!$D$47:$T$47,0))-INDEX(pin!$D$48:$T$84,MATCH(ΥΠΟΛΟΓΙΣΜΟΙ!BF49,pin!$B$48:$B$84,0),MATCH(ΥΠΟΛΟΓΙΣΜΟΙ!AX49,pin!$D$47:$T$47,0)))</f>
        <v>1</v>
      </c>
      <c r="BI49" s="187">
        <f>INDEX(pin!$X$48:$AN$84,MATCH(ΥΠΟΛΟΓΙΣΜΟΙ!BE49,pin!$V$48:$V$84,0),MATCH(ΥΠΟΛΟΓΙΣΜΟΙ!AW49,pin!$X$47:$AN$47,0))+0.4*(BE49-AF49)*(INDEX(pin!$X$48:$AN$84,MATCH(ΥΠΟΛΟΓΙΣΜΟΙ!BE49,pin!$V$48:$V$84,0),MATCH(ΥΠΟΛΟΓΙΣΜΟΙ!AW49,pin!$X$47:$AN$47,0))-INDEX(pin!$X$48:$AN$84,MATCH(ΥΠΟΛΟΓΙΣΜΟΙ!BF49,pin!$V$48:$V$84,0),MATCH(ΥΠΟΛΟΓΙΣΜΟΙ!AW49,pin!$X$47:$AN$47,0)))</f>
        <v>1</v>
      </c>
      <c r="BJ49" s="203">
        <f>INDEX(pin!$X$48:$AN$84,MATCH(ΥΠΟΛΟΓΙΣΜΟΙ!BE49,pin!$V$48:$V$84,0),MATCH(ΥΠΟΛΟΓΙΣΜΟΙ!AX49,pin!$X$47:$AN$47,0))+0.4*(BE49-AF49)*(INDEX(pin!$X$48:$AN$84,MATCH(ΥΠΟΛΟΓΙΣΜΟΙ!BE49,pin!$V$48:$V$84,0),MATCH(ΥΠΟΛΟΓΙΣΜΟΙ!AX49,pin!$X$47:$AN$47,0))-INDEX(pin!$X$48:$AN$84,MATCH(ΥΠΟΛΟΓΙΣΜΟΙ!BF49,pin!$V$48:$V$84,0),MATCH(ΥΠΟΛΟΓΙΣΜΟΙ!AX49,pin!$X$47:$AN$47,0)))</f>
        <v>1</v>
      </c>
      <c r="BK49" s="187">
        <f t="shared" si="97"/>
        <v>0</v>
      </c>
      <c r="BL49" s="188">
        <f t="shared" si="98"/>
        <v>0</v>
      </c>
      <c r="BM49" s="188">
        <f>INDEX(pin!$X$48:$AN$84,MATCH(ΥΠΟΛΟΓΙΣΜΟΙ!BK49,pin!$V$48:$V$84,0),MATCH(ΥΠΟΛΟΓΙΣΜΟΙ!AW49,pin!$X$47:$AN$47,0))+0.4*(BK49-AG49)*(INDEX(pin!$X$48:$AN$84,MATCH(ΥΠΟΛΟΓΙΣΜΟΙ!BK49,pin!$V$48:$V$84,0),MATCH(ΥΠΟΛΟΓΙΣΜΟΙ!AW49,pin!$X$47:$AN$47,0))-INDEX(pin!$X$48:$AN$84,MATCH(ΥΠΟΛΟΓΙΣΜΟΙ!BL49,pin!$V$48:$V$84,0),MATCH(ΥΠΟΛΟΓΙΣΜΟΙ!AW49,pin!$X$47:$AN$47,0)))</f>
        <v>1</v>
      </c>
      <c r="BN49" s="203">
        <f>INDEX(pin!$X$48:$AN$84,MATCH(ΥΠΟΛΟΓΙΣΜΟΙ!BK49,pin!$V$48:$V$84,0),MATCH(ΥΠΟΛΟΓΙΣΜΟΙ!AX49,pin!$X$47:$AN$47,0))+0.4*(BK49-AG49)*(INDEX(pin!$X$48:$AN$84,MATCH(ΥΠΟΛΟΓΙΣΜΟΙ!BK49,pin!$V$48:$V$84,0),MATCH(ΥΠΟΛΟΓΙΣΜΟΙ!AX49,pin!$X$47:$AN$47,0))-INDEX(pin!$X$48:$AN$84,MATCH(ΥΠΟΛΟΓΙΣΜΟΙ!BL49,pin!$V$48:$V$84,0),MATCH(ΥΠΟΛΟΓΙΣΜΟΙ!AX49,pin!$X$47:$AN$47,0)))</f>
        <v>1</v>
      </c>
      <c r="BO49" s="187">
        <f t="shared" si="99"/>
        <v>0</v>
      </c>
      <c r="BP49" s="188">
        <f t="shared" si="100"/>
        <v>0</v>
      </c>
      <c r="BQ49" s="188">
        <f>INDEX(pin!$D$114:$T$132,MATCH(ΥΠΟΛΟΓΙΣΜΟΙ!BO49,pin!$B$114:$B$132,0),MATCH(ΥΠΟΛΟΓΙΣΜΟΙ!AW49,pin!$D$113:$T$113,0))+0.2*(BO49-AH49)*(INDEX(pin!$D$114:$T$132,MATCH(ΥΠΟΛΟΓΙΣΜΟΙ!BO49,pin!$B$114:$B$132,0),MATCH(ΥΠΟΛΟΓΙΣΜΟΙ!AW49,pin!$D$113:$T$113,0))-INDEX(pin!$D$114:$T$132,MATCH(ΥΠΟΛΟΓΙΣΜΟΙ!BP49,pin!$B$114:$B$132,0),MATCH(ΥΠΟΛΟΓΙΣΜΟΙ!AW49,pin!$D$113:$T$113,0)))</f>
        <v>1</v>
      </c>
      <c r="BR49" s="188">
        <f>INDEX(pin!$D$114:$T$132,MATCH(ΥΠΟΛΟΓΙΣΜΟΙ!BO49,pin!$B$114:$B$132,0),MATCH(ΥΠΟΛΟΓΙΣΜΟΙ!AX49,pin!$D$113:$T$113,0))+0.2*(BO49-AH49)*(INDEX(pin!$D$114:$T$132,MATCH(ΥΠΟΛΟΓΙΣΜΟΙ!BO49,pin!$B$114:$B$132,0),MATCH(ΥΠΟΛΟΓΙΣΜΟΙ!AX49,pin!$D$113:$T$113,0))-INDEX(pin!$D$114:$T$132,MATCH(ΥΠΟΛΟΓΙΣΜΟΙ!BP49,pin!$B$114:$B$132,0),MATCH(ΥΠΟΛΟΓΙΣΜΟΙ!AX49,pin!$D$113:$T$113,0)))</f>
        <v>1</v>
      </c>
      <c r="BS49" s="187">
        <f>INDEX(pin!$X$114:$AN$132,MATCH(ΥΠΟΛΟΓΙΣΜΟΙ!BO49,pin!$V$114:$V$132,0),MATCH(ΥΠΟΛΟΓΙΣΜΟΙ!AW49,pin!$X$113:$AN$113,0))+0.2*(BO49-AH49)*(INDEX(pin!$X$114:$AN$132,MATCH(ΥΠΟΛΟΓΙΣΜΟΙ!BO49,pin!$V$114:$V$132,0),MATCH(ΥΠΟΛΟΓΙΣΜΟΙ!AW49,pin!$X$113:$AN$113,0))-INDEX(pin!$X$114:$AN$132,MATCH(ΥΠΟΛΟΓΙΣΜΟΙ!BP49,pin!$V$114:$V$132,0),MATCH(ΥΠΟΛΟΓΙΣΜΟΙ!AW49,pin!$X$113:$AN$113,0)))</f>
        <v>1</v>
      </c>
      <c r="BT49" s="203">
        <f>INDEX(pin!$X$114:$AN$132,MATCH(ΥΠΟΛΟΓΙΣΜΟΙ!BO49,pin!$V$114:$V$132,0),MATCH(ΥΠΟΛΟΓΙΣΜΟΙ!AX49,pin!$X$113:$AN$113,0))+0.2*(BO49-AH49)*(INDEX(pin!$X$114:$AN$132,MATCH(ΥΠΟΛΟΓΙΣΜΟΙ!BO49,pin!$V$114:$V$132,0),MATCH(ΥΠΟΛΟΓΙΣΜΟΙ!AX49,pin!$X$113:$AN$113,0))-INDEX(pin!$X$114:$AN$132,MATCH(ΥΠΟΛΟΓΙΣΜΟΙ!BP49,pin!$V$114:$V$132,0),MATCH(ΥΠΟΛΟΓΙΣΜΟΙ!AX49,pin!$X$113:$AN$113,0)))</f>
        <v>1</v>
      </c>
      <c r="BU49" s="187">
        <f t="shared" si="101"/>
        <v>0</v>
      </c>
      <c r="BV49" s="188">
        <f t="shared" si="102"/>
        <v>0</v>
      </c>
      <c r="BW49" s="188">
        <f>INDEX(pin!$D$90:$T$108,MATCH(ΥΠΟΛΟΓΙΣΜΟΙ!BU49,pin!$B$90:$B$108,0),MATCH(ΥΠΟΛΟΓΙΣΜΟΙ!AW49,pin!$D$89:$T$89,0))+0.2*(BU49-AI49)*(INDEX(pin!$D$90:$T$108,MATCH(ΥΠΟΛΟΓΙΣΜΟΙ!BU49,pin!$B$90:$B$108,0),MATCH(ΥΠΟΛΟΓΙΣΜΟΙ!AW49,pin!$D$89:$T$89,0))-INDEX(pin!$D$90:$T$108,MATCH(ΥΠΟΛΟΓΙΣΜΟΙ!BV49,pin!$B$90:$B$108,0),MATCH(ΥΠΟΛΟΓΙΣΜΟΙ!AW49,pin!$D$89:$T$89,0)))</f>
        <v>1</v>
      </c>
      <c r="BX49" s="203">
        <f>INDEX(pin!$D$90:$T$108,MATCH(ΥΠΟΛΟΓΙΣΜΟΙ!BU49,pin!$B$90:$B$108,0),MATCH(ΥΠΟΛΟΓΙΣΜΟΙ!AX49,pin!$D$89:$T$89,0))+0.2*(BU49-AI49)*(INDEX(pin!$D$90:$T$108,MATCH(ΥΠΟΛΟΓΙΣΜΟΙ!BU49,pin!$B$90:$B$108,0),MATCH(ΥΠΟΛΟΓΙΣΜΟΙ!AX49,pin!$D$89:$T$89,0))-INDEX(pin!$D$90:$T$108,MATCH(ΥΠΟΛΟΓΙΣΜΟΙ!BV49,pin!$B$90:$B$108,0),MATCH(ΥΠΟΛΟΓΙΣΜΟΙ!AX49,pin!$D$89:$T$89,0)))</f>
        <v>1</v>
      </c>
      <c r="BY49" s="188">
        <f>INDEX(pin!$X$90:$AN$108,MATCH(ΥΠΟΛΟΓΙΣΜΟΙ!BU49,pin!$V$90:$V$108,0),MATCH(ΥΠΟΛΟΓΙΣΜΟΙ!AW49,pin!$X$89:$AN$89,0))+0.2*(BU49-AI49)*(INDEX(pin!$X$90:$AN$108,MATCH(ΥΠΟΛΟΓΙΣΜΟΙ!BU49,pin!$V$90:$V$108,0),MATCH(ΥΠΟΛΟΓΙΣΜΟΙ!AW49,pin!$X$89:$AN$89,0))-INDEX(pin!$X$90:$AN$108,MATCH(ΥΠΟΛΟΓΙΣΜΟΙ!BV49,pin!$V$90:$V$108,0),MATCH(ΥΠΟΛΟΓΙΣΜΟΙ!AW49,pin!$X$89:$AN$89,0)))</f>
        <v>1</v>
      </c>
      <c r="BZ49" s="203">
        <f>INDEX(pin!$X$90:$AN$108,MATCH(ΥΠΟΛΟΓΙΣΜΟΙ!BU49,pin!$V$90:$V$108,0),MATCH(ΥΠΟΛΟΓΙΣΜΟΙ!AX49,pin!$X$89:$AN$89,0))+0.2*(BU49-AI49)*(INDEX(pin!$X$90:$AN$108,MATCH(ΥΠΟΛΟΓΙΣΜΟΙ!BU49,pin!$V$90:$V$108,0),MATCH(ΥΠΟΛΟΓΙΣΜΟΙ!AX49,pin!$X$89:$AN$89,0))-INDEX(pin!$X$90:$AN$108,MATCH(ΥΠΟΛΟΓΙΣΜΟΙ!BV49,pin!$V$90:$V$108,0),MATCH(ΥΠΟΛΟΓΙΣΜΟΙ!AX49,pin!$X$89:$AN$89,0)))</f>
        <v>1</v>
      </c>
      <c r="CA49" s="189"/>
      <c r="DO49" s="34" t="s">
        <v>712</v>
      </c>
    </row>
    <row r="50" spans="1:119" s="34" customFormat="1">
      <c r="A50" s="56">
        <v>5</v>
      </c>
      <c r="B50" s="118"/>
      <c r="C50" s="116"/>
      <c r="D50" s="116"/>
      <c r="E50" s="116"/>
      <c r="F50" s="47" t="str">
        <f t="shared" si="103"/>
        <v>-</v>
      </c>
      <c r="G50" s="81" t="str">
        <f t="shared" si="104"/>
        <v>-</v>
      </c>
      <c r="H50" s="235"/>
      <c r="I50" s="119"/>
      <c r="J50" s="269" t="s">
        <v>607</v>
      </c>
      <c r="K50" s="123"/>
      <c r="L50" s="387"/>
      <c r="M50" s="560" t="s">
        <v>670</v>
      </c>
      <c r="N50" s="561"/>
      <c r="O50" s="46">
        <f t="shared" si="105"/>
        <v>1</v>
      </c>
      <c r="P50" s="120">
        <f t="shared" si="106"/>
        <v>1</v>
      </c>
      <c r="Q50" s="46">
        <f t="shared" si="107"/>
        <v>1</v>
      </c>
      <c r="R50" s="120">
        <f t="shared" si="108"/>
        <v>1</v>
      </c>
      <c r="S50" s="46">
        <f t="shared" si="109"/>
        <v>1</v>
      </c>
      <c r="T50" s="120">
        <f t="shared" si="110"/>
        <v>1</v>
      </c>
      <c r="U50" s="121"/>
      <c r="V50" s="124" t="str">
        <f t="shared" si="111"/>
        <v>-</v>
      </c>
      <c r="W50" s="116"/>
      <c r="X50" s="124" t="str">
        <f t="shared" si="112"/>
        <v>-</v>
      </c>
      <c r="Y50" s="152"/>
      <c r="Z50" s="122"/>
      <c r="AA50" s="116"/>
      <c r="AB50" s="116"/>
      <c r="AC50" s="121"/>
      <c r="AD50" s="117"/>
      <c r="AE50" s="204">
        <f t="shared" si="113"/>
        <v>0</v>
      </c>
      <c r="AF50" s="180">
        <f t="shared" si="114"/>
        <v>0</v>
      </c>
      <c r="AG50" s="206">
        <f t="shared" si="115"/>
        <v>0</v>
      </c>
      <c r="AH50" s="180">
        <f t="shared" si="116"/>
        <v>0</v>
      </c>
      <c r="AI50" s="180">
        <f t="shared" si="117"/>
        <v>0</v>
      </c>
      <c r="AJ50" s="181">
        <f t="shared" si="123"/>
        <v>1</v>
      </c>
      <c r="AK50" s="181">
        <f t="shared" si="118"/>
        <v>1</v>
      </c>
      <c r="AL50" s="181">
        <f t="shared" si="119"/>
        <v>1</v>
      </c>
      <c r="AM50" s="181">
        <f t="shared" si="124"/>
        <v>1</v>
      </c>
      <c r="AN50" s="187">
        <f t="shared" si="120"/>
        <v>0</v>
      </c>
      <c r="AO50" s="188"/>
      <c r="AP50" s="188"/>
      <c r="AQ50" s="188"/>
      <c r="AR50" s="188"/>
      <c r="AS50" s="188"/>
      <c r="AT50" s="188"/>
      <c r="AU50" s="188"/>
      <c r="AV50" s="188" t="s">
        <v>256</v>
      </c>
      <c r="AW50" s="188">
        <f t="shared" si="121"/>
        <v>0</v>
      </c>
      <c r="AX50" s="203">
        <f t="shared" si="122"/>
        <v>0</v>
      </c>
      <c r="AY50" s="187">
        <f t="shared" si="93"/>
        <v>0</v>
      </c>
      <c r="AZ50" s="188">
        <f t="shared" si="94"/>
        <v>0</v>
      </c>
      <c r="BA50" s="188">
        <f>INDEX(pin!$D$6:$T$42,MATCH(ΥΠΟΛΟΓΙΣΜΟΙ!AY50,pin!$B$6:$B$42,0),MATCH(ΥΠΟΛΟΓΙΣΜΟΙ!AW50,pin!$D$5:$T$5,0))+0.4*(AY50-AE50)*(INDEX(pin!$D$6:$T$42,MATCH(ΥΠΟΛΟΓΙΣΜΟΙ!AY50,pin!$B$6:$B$42,0),MATCH(ΥΠΟΛΟΓΙΣΜΟΙ!AW50,pin!$D$5:$T$5,0))-INDEX(pin!$D$6:$T$42,MATCH(ΥΠΟΛΟΓΙΣΜΟΙ!AZ50,pin!$B$6:$B$42,0),MATCH(ΥΠΟΛΟΓΙΣΜΟΙ!AW50,pin!$D$5:$T$5,0)))</f>
        <v>1</v>
      </c>
      <c r="BB50" s="203">
        <f>INDEX(pin!$D$6:$T$42,MATCH(ΥΠΟΛΟΓΙΣΜΟΙ!AY50,pin!$B$6:$B$42,0),MATCH(ΥΠΟΛΟΓΙΣΜΟΙ!AX50,pin!$D$5:$T$5,0))+0.4*(AY50-AE50)*(INDEX(pin!$D$6:$T$42,MATCH(ΥΠΟΛΟΓΙΣΜΟΙ!AY50,pin!$B$6:$B$42,0),MATCH(ΥΠΟΛΟΓΙΣΜΟΙ!AX50,pin!$D$5:$T$5,0))-INDEX(pin!$D$6:$T$42,MATCH(ΥΠΟΛΟΓΙΣΜΟΙ!AZ50,pin!$B$6:$B$42,0),MATCH(ΥΠΟΛΟΓΙΣΜΟΙ!AX50,pin!$D$5:$T$5,0)))</f>
        <v>1</v>
      </c>
      <c r="BC50" s="188">
        <f>INDEX(pin!$X$6:$AN$42,MATCH(ΥΠΟΛΟΓΙΣΜΟΙ!AY50,pin!$V$6:$V$42,0),MATCH(ΥΠΟΛΟΓΙΣΜΟΙ!AW50,pin!$X$5:$AN$5,0))+0.4*(AY50-AE50)*(INDEX(pin!$X$6:$AN$42,MATCH(ΥΠΟΛΟΓΙΣΜΟΙ!AY50,pin!$V$6:$V$42,0),MATCH(ΥΠΟΛΟΓΙΣΜΟΙ!AW50,pin!$X$5:$AN$5,0))-INDEX(pin!$X$6:$AN$42,MATCH(ΥΠΟΛΟΓΙΣΜΟΙ!AZ50,pin!$V$6:$V$42,0),MATCH(ΥΠΟΛΟΓΙΣΜΟΙ!AW50,pin!$X$5:$AN$5,0)))</f>
        <v>1</v>
      </c>
      <c r="BD50" s="188">
        <f>INDEX(pin!$X$6:$AN$42,MATCH(ΥΠΟΛΟΓΙΣΜΟΙ!AY50,pin!$V$6:$V$42,0),MATCH(ΥΠΟΛΟΓΙΣΜΟΙ!AX50,pin!$X$5:$AN$5,0))+0.4*(AY50-AE50)*(INDEX(pin!$X$6:$AN$42,MATCH(ΥΠΟΛΟΓΙΣΜΟΙ!AY50,pin!$V$6:$V$42,0),MATCH(ΥΠΟΛΟΓΙΣΜΟΙ!AX50,pin!$X$5:$AN$5,0))-INDEX(pin!$X$6:$AN$42,MATCH(ΥΠΟΛΟΓΙΣΜΟΙ!AZ50,pin!$V$6:$V$42,0),MATCH(ΥΠΟΛΟΓΙΣΜΟΙ!AX50,pin!$X$5:$AN$5,0)))</f>
        <v>1</v>
      </c>
      <c r="BE50" s="187">
        <f t="shared" si="95"/>
        <v>0</v>
      </c>
      <c r="BF50" s="188">
        <f t="shared" si="96"/>
        <v>0</v>
      </c>
      <c r="BG50" s="188">
        <f>INDEX(pin!$D$48:$T$84,MATCH(ΥΠΟΛΟΓΙΣΜΟΙ!BE50,pin!$B$48:$B$84,0),MATCH(ΥΠΟΛΟΓΙΣΜΟΙ!AW50,pin!$D$47:$T$47,0))+0.4*(BE50-AF50)*(INDEX(pin!$D$48:$T$84,MATCH(ΥΠΟΛΟΓΙΣΜΟΙ!BE50,pin!$B$48:$B$84,0),MATCH(ΥΠΟΛΟΓΙΣΜΟΙ!AW50,pin!$D$47:$T$47,0))-INDEX(pin!$D$48:$T$84,MATCH(ΥΠΟΛΟΓΙΣΜΟΙ!BF50,pin!$B$48:$B$84,0),MATCH(ΥΠΟΛΟΓΙΣΜΟΙ!AW50,pin!$D$47:$T$47,0)))</f>
        <v>1</v>
      </c>
      <c r="BH50" s="188">
        <f>INDEX(pin!$D$48:$T$84,MATCH(ΥΠΟΛΟΓΙΣΜΟΙ!BE50,pin!$B$48:$B$84,0),MATCH(ΥΠΟΛΟΓΙΣΜΟΙ!AX50,pin!$D$47:$T$47,0))+0.4*(BE50-AF50)*(INDEX(pin!$D$48:$T$84,MATCH(ΥΠΟΛΟΓΙΣΜΟΙ!BE50,pin!$B$48:$B$84,0),MATCH(ΥΠΟΛΟΓΙΣΜΟΙ!AX50,pin!$D$47:$T$47,0))-INDEX(pin!$D$48:$T$84,MATCH(ΥΠΟΛΟΓΙΣΜΟΙ!BF50,pin!$B$48:$B$84,0),MATCH(ΥΠΟΛΟΓΙΣΜΟΙ!AX50,pin!$D$47:$T$47,0)))</f>
        <v>1</v>
      </c>
      <c r="BI50" s="187">
        <f>INDEX(pin!$X$48:$AN$84,MATCH(ΥΠΟΛΟΓΙΣΜΟΙ!BE50,pin!$V$48:$V$84,0),MATCH(ΥΠΟΛΟΓΙΣΜΟΙ!AW50,pin!$X$47:$AN$47,0))+0.4*(BE50-AF50)*(INDEX(pin!$X$48:$AN$84,MATCH(ΥΠΟΛΟΓΙΣΜΟΙ!BE50,pin!$V$48:$V$84,0),MATCH(ΥΠΟΛΟΓΙΣΜΟΙ!AW50,pin!$X$47:$AN$47,0))-INDEX(pin!$X$48:$AN$84,MATCH(ΥΠΟΛΟΓΙΣΜΟΙ!BF50,pin!$V$48:$V$84,0),MATCH(ΥΠΟΛΟΓΙΣΜΟΙ!AW50,pin!$X$47:$AN$47,0)))</f>
        <v>1</v>
      </c>
      <c r="BJ50" s="203">
        <f>INDEX(pin!$X$48:$AN$84,MATCH(ΥΠΟΛΟΓΙΣΜΟΙ!BE50,pin!$V$48:$V$84,0),MATCH(ΥΠΟΛΟΓΙΣΜΟΙ!AX50,pin!$X$47:$AN$47,0))+0.4*(BE50-AF50)*(INDEX(pin!$X$48:$AN$84,MATCH(ΥΠΟΛΟΓΙΣΜΟΙ!BE50,pin!$V$48:$V$84,0),MATCH(ΥΠΟΛΟΓΙΣΜΟΙ!AX50,pin!$X$47:$AN$47,0))-INDEX(pin!$X$48:$AN$84,MATCH(ΥΠΟΛΟΓΙΣΜΟΙ!BF50,pin!$V$48:$V$84,0),MATCH(ΥΠΟΛΟΓΙΣΜΟΙ!AX50,pin!$X$47:$AN$47,0)))</f>
        <v>1</v>
      </c>
      <c r="BK50" s="187">
        <f t="shared" si="97"/>
        <v>0</v>
      </c>
      <c r="BL50" s="188">
        <f t="shared" si="98"/>
        <v>0</v>
      </c>
      <c r="BM50" s="188">
        <f>INDEX(pin!$X$48:$AN$84,MATCH(ΥΠΟΛΟΓΙΣΜΟΙ!BK50,pin!$V$48:$V$84,0),MATCH(ΥΠΟΛΟΓΙΣΜΟΙ!AW50,pin!$X$47:$AN$47,0))+0.4*(BK50-AG50)*(INDEX(pin!$X$48:$AN$84,MATCH(ΥΠΟΛΟΓΙΣΜΟΙ!BK50,pin!$V$48:$V$84,0),MATCH(ΥΠΟΛΟΓΙΣΜΟΙ!AW50,pin!$X$47:$AN$47,0))-INDEX(pin!$X$48:$AN$84,MATCH(ΥΠΟΛΟΓΙΣΜΟΙ!BL50,pin!$V$48:$V$84,0),MATCH(ΥΠΟΛΟΓΙΣΜΟΙ!AW50,pin!$X$47:$AN$47,0)))</f>
        <v>1</v>
      </c>
      <c r="BN50" s="203">
        <f>INDEX(pin!$X$48:$AN$84,MATCH(ΥΠΟΛΟΓΙΣΜΟΙ!BK50,pin!$V$48:$V$84,0),MATCH(ΥΠΟΛΟΓΙΣΜΟΙ!AX50,pin!$X$47:$AN$47,0))+0.4*(BK50-AG50)*(INDEX(pin!$X$48:$AN$84,MATCH(ΥΠΟΛΟΓΙΣΜΟΙ!BK50,pin!$V$48:$V$84,0),MATCH(ΥΠΟΛΟΓΙΣΜΟΙ!AX50,pin!$X$47:$AN$47,0))-INDEX(pin!$X$48:$AN$84,MATCH(ΥΠΟΛΟΓΙΣΜΟΙ!BL50,pin!$V$48:$V$84,0),MATCH(ΥΠΟΛΟΓΙΣΜΟΙ!AX50,pin!$X$47:$AN$47,0)))</f>
        <v>1</v>
      </c>
      <c r="BO50" s="187">
        <f t="shared" si="99"/>
        <v>0</v>
      </c>
      <c r="BP50" s="188">
        <f t="shared" si="100"/>
        <v>0</v>
      </c>
      <c r="BQ50" s="188">
        <f>INDEX(pin!$D$114:$T$132,MATCH(ΥΠΟΛΟΓΙΣΜΟΙ!BO50,pin!$B$114:$B$132,0),MATCH(ΥΠΟΛΟΓΙΣΜΟΙ!AW50,pin!$D$113:$T$113,0))+0.2*(BO50-AH50)*(INDEX(pin!$D$114:$T$132,MATCH(ΥΠΟΛΟΓΙΣΜΟΙ!BO50,pin!$B$114:$B$132,0),MATCH(ΥΠΟΛΟΓΙΣΜΟΙ!AW50,pin!$D$113:$T$113,0))-INDEX(pin!$D$114:$T$132,MATCH(ΥΠΟΛΟΓΙΣΜΟΙ!BP50,pin!$B$114:$B$132,0),MATCH(ΥΠΟΛΟΓΙΣΜΟΙ!AW50,pin!$D$113:$T$113,0)))</f>
        <v>1</v>
      </c>
      <c r="BR50" s="188">
        <f>INDEX(pin!$D$114:$T$132,MATCH(ΥΠΟΛΟΓΙΣΜΟΙ!BO50,pin!$B$114:$B$132,0),MATCH(ΥΠΟΛΟΓΙΣΜΟΙ!AX50,pin!$D$113:$T$113,0))+0.2*(BO50-AH50)*(INDEX(pin!$D$114:$T$132,MATCH(ΥΠΟΛΟΓΙΣΜΟΙ!BO50,pin!$B$114:$B$132,0),MATCH(ΥΠΟΛΟΓΙΣΜΟΙ!AX50,pin!$D$113:$T$113,0))-INDEX(pin!$D$114:$T$132,MATCH(ΥΠΟΛΟΓΙΣΜΟΙ!BP50,pin!$B$114:$B$132,0),MATCH(ΥΠΟΛΟΓΙΣΜΟΙ!AX50,pin!$D$113:$T$113,0)))</f>
        <v>1</v>
      </c>
      <c r="BS50" s="187">
        <f>INDEX(pin!$X$114:$AN$132,MATCH(ΥΠΟΛΟΓΙΣΜΟΙ!BO50,pin!$V$114:$V$132,0),MATCH(ΥΠΟΛΟΓΙΣΜΟΙ!AW50,pin!$X$113:$AN$113,0))+0.2*(BO50-AH50)*(INDEX(pin!$X$114:$AN$132,MATCH(ΥΠΟΛΟΓΙΣΜΟΙ!BO50,pin!$V$114:$V$132,0),MATCH(ΥΠΟΛΟΓΙΣΜΟΙ!AW50,pin!$X$113:$AN$113,0))-INDEX(pin!$X$114:$AN$132,MATCH(ΥΠΟΛΟΓΙΣΜΟΙ!BP50,pin!$V$114:$V$132,0),MATCH(ΥΠΟΛΟΓΙΣΜΟΙ!AW50,pin!$X$113:$AN$113,0)))</f>
        <v>1</v>
      </c>
      <c r="BT50" s="203">
        <f>INDEX(pin!$X$114:$AN$132,MATCH(ΥΠΟΛΟΓΙΣΜΟΙ!BO50,pin!$V$114:$V$132,0),MATCH(ΥΠΟΛΟΓΙΣΜΟΙ!AX50,pin!$X$113:$AN$113,0))+0.2*(BO50-AH50)*(INDEX(pin!$X$114:$AN$132,MATCH(ΥΠΟΛΟΓΙΣΜΟΙ!BO50,pin!$V$114:$V$132,0),MATCH(ΥΠΟΛΟΓΙΣΜΟΙ!AX50,pin!$X$113:$AN$113,0))-INDEX(pin!$X$114:$AN$132,MATCH(ΥΠΟΛΟΓΙΣΜΟΙ!BP50,pin!$V$114:$V$132,0),MATCH(ΥΠΟΛΟΓΙΣΜΟΙ!AX50,pin!$X$113:$AN$113,0)))</f>
        <v>1</v>
      </c>
      <c r="BU50" s="187">
        <f t="shared" si="101"/>
        <v>0</v>
      </c>
      <c r="BV50" s="188">
        <f t="shared" si="102"/>
        <v>0</v>
      </c>
      <c r="BW50" s="188">
        <f>INDEX(pin!$D$90:$T$108,MATCH(ΥΠΟΛΟΓΙΣΜΟΙ!BU50,pin!$B$90:$B$108,0),MATCH(ΥΠΟΛΟΓΙΣΜΟΙ!AW50,pin!$D$89:$T$89,0))+0.2*(BU50-AI50)*(INDEX(pin!$D$90:$T$108,MATCH(ΥΠΟΛΟΓΙΣΜΟΙ!BU50,pin!$B$90:$B$108,0),MATCH(ΥΠΟΛΟΓΙΣΜΟΙ!AW50,pin!$D$89:$T$89,0))-INDEX(pin!$D$90:$T$108,MATCH(ΥΠΟΛΟΓΙΣΜΟΙ!BV50,pin!$B$90:$B$108,0),MATCH(ΥΠΟΛΟΓΙΣΜΟΙ!AW50,pin!$D$89:$T$89,0)))</f>
        <v>1</v>
      </c>
      <c r="BX50" s="203">
        <f>INDEX(pin!$D$90:$T$108,MATCH(ΥΠΟΛΟΓΙΣΜΟΙ!BU50,pin!$B$90:$B$108,0),MATCH(ΥΠΟΛΟΓΙΣΜΟΙ!AX50,pin!$D$89:$T$89,0))+0.2*(BU50-AI50)*(INDEX(pin!$D$90:$T$108,MATCH(ΥΠΟΛΟΓΙΣΜΟΙ!BU50,pin!$B$90:$B$108,0),MATCH(ΥΠΟΛΟΓΙΣΜΟΙ!AX50,pin!$D$89:$T$89,0))-INDEX(pin!$D$90:$T$108,MATCH(ΥΠΟΛΟΓΙΣΜΟΙ!BV50,pin!$B$90:$B$108,0),MATCH(ΥΠΟΛΟΓΙΣΜΟΙ!AX50,pin!$D$89:$T$89,0)))</f>
        <v>1</v>
      </c>
      <c r="BY50" s="188">
        <f>INDEX(pin!$X$90:$AN$108,MATCH(ΥΠΟΛΟΓΙΣΜΟΙ!BU50,pin!$V$90:$V$108,0),MATCH(ΥΠΟΛΟΓΙΣΜΟΙ!AW50,pin!$X$89:$AN$89,0))+0.2*(BU50-AI50)*(INDEX(pin!$X$90:$AN$108,MATCH(ΥΠΟΛΟΓΙΣΜΟΙ!BU50,pin!$V$90:$V$108,0),MATCH(ΥΠΟΛΟΓΙΣΜΟΙ!AW50,pin!$X$89:$AN$89,0))-INDEX(pin!$X$90:$AN$108,MATCH(ΥΠΟΛΟΓΙΣΜΟΙ!BV50,pin!$V$90:$V$108,0),MATCH(ΥΠΟΛΟΓΙΣΜΟΙ!AW50,pin!$X$89:$AN$89,0)))</f>
        <v>1</v>
      </c>
      <c r="BZ50" s="203">
        <f>INDEX(pin!$X$90:$AN$108,MATCH(ΥΠΟΛΟΓΙΣΜΟΙ!BU50,pin!$V$90:$V$108,0),MATCH(ΥΠΟΛΟΓΙΣΜΟΙ!AX50,pin!$X$89:$AN$89,0))+0.2*(BU50-AI50)*(INDEX(pin!$X$90:$AN$108,MATCH(ΥΠΟΛΟΓΙΣΜΟΙ!BU50,pin!$V$90:$V$108,0),MATCH(ΥΠΟΛΟΓΙΣΜΟΙ!AX50,pin!$X$89:$AN$89,0))-INDEX(pin!$X$90:$AN$108,MATCH(ΥΠΟΛΟΓΙΣΜΟΙ!BV50,pin!$V$90:$V$108,0),MATCH(ΥΠΟΛΟΓΙΣΜΟΙ!AX50,pin!$X$89:$AN$89,0)))</f>
        <v>1</v>
      </c>
      <c r="CA50" s="189"/>
      <c r="DO50" s="34" t="s">
        <v>713</v>
      </c>
    </row>
    <row r="51" spans="1:119" s="34" customFormat="1">
      <c r="A51" s="56">
        <v>6</v>
      </c>
      <c r="B51" s="118"/>
      <c r="C51" s="116"/>
      <c r="D51" s="116"/>
      <c r="E51" s="116"/>
      <c r="F51" s="47" t="str">
        <f t="shared" si="103"/>
        <v>-</v>
      </c>
      <c r="G51" s="81" t="str">
        <f t="shared" si="104"/>
        <v>-</v>
      </c>
      <c r="H51" s="235"/>
      <c r="I51" s="119"/>
      <c r="J51" s="269" t="s">
        <v>607</v>
      </c>
      <c r="K51" s="123"/>
      <c r="L51" s="387"/>
      <c r="M51" s="560" t="s">
        <v>670</v>
      </c>
      <c r="N51" s="561"/>
      <c r="O51" s="46">
        <f t="shared" si="105"/>
        <v>1</v>
      </c>
      <c r="P51" s="120">
        <f t="shared" si="106"/>
        <v>1</v>
      </c>
      <c r="Q51" s="46">
        <f t="shared" si="107"/>
        <v>1</v>
      </c>
      <c r="R51" s="120">
        <f t="shared" si="108"/>
        <v>1</v>
      </c>
      <c r="S51" s="46">
        <f t="shared" si="109"/>
        <v>1</v>
      </c>
      <c r="T51" s="120">
        <f t="shared" si="110"/>
        <v>1</v>
      </c>
      <c r="U51" s="121"/>
      <c r="V51" s="124" t="str">
        <f t="shared" si="111"/>
        <v>-</v>
      </c>
      <c r="W51" s="116"/>
      <c r="X51" s="124" t="str">
        <f t="shared" si="112"/>
        <v>-</v>
      </c>
      <c r="Y51" s="152"/>
      <c r="Z51" s="122"/>
      <c r="AA51" s="116"/>
      <c r="AB51" s="116"/>
      <c r="AC51" s="121"/>
      <c r="AD51" s="117"/>
      <c r="AE51" s="204">
        <f t="shared" si="113"/>
        <v>0</v>
      </c>
      <c r="AF51" s="180">
        <f t="shared" si="114"/>
        <v>0</v>
      </c>
      <c r="AG51" s="206">
        <f t="shared" si="115"/>
        <v>0</v>
      </c>
      <c r="AH51" s="180">
        <f t="shared" si="116"/>
        <v>0</v>
      </c>
      <c r="AI51" s="180">
        <f t="shared" si="117"/>
        <v>0</v>
      </c>
      <c r="AJ51" s="181">
        <f t="shared" si="123"/>
        <v>1</v>
      </c>
      <c r="AK51" s="181">
        <f t="shared" si="118"/>
        <v>1</v>
      </c>
      <c r="AL51" s="181">
        <f t="shared" si="119"/>
        <v>1</v>
      </c>
      <c r="AM51" s="181">
        <f t="shared" si="124"/>
        <v>1</v>
      </c>
      <c r="AN51" s="187">
        <f t="shared" si="120"/>
        <v>0</v>
      </c>
      <c r="AO51" s="188"/>
      <c r="AP51" s="188"/>
      <c r="AQ51" s="188"/>
      <c r="AR51" s="188"/>
      <c r="AS51" s="188"/>
      <c r="AT51" s="188"/>
      <c r="AU51" s="188"/>
      <c r="AV51" s="188" t="s">
        <v>256</v>
      </c>
      <c r="AW51" s="188">
        <f t="shared" si="121"/>
        <v>0</v>
      </c>
      <c r="AX51" s="203">
        <f t="shared" si="122"/>
        <v>0</v>
      </c>
      <c r="AY51" s="187">
        <f t="shared" si="93"/>
        <v>0</v>
      </c>
      <c r="AZ51" s="188">
        <f t="shared" si="94"/>
        <v>0</v>
      </c>
      <c r="BA51" s="188">
        <f>INDEX(pin!$D$6:$T$42,MATCH(ΥΠΟΛΟΓΙΣΜΟΙ!AY51,pin!$B$6:$B$42,0),MATCH(ΥΠΟΛΟΓΙΣΜΟΙ!AW51,pin!$D$5:$T$5,0))+0.4*(AY51-AE51)*(INDEX(pin!$D$6:$T$42,MATCH(ΥΠΟΛΟΓΙΣΜΟΙ!AY51,pin!$B$6:$B$42,0),MATCH(ΥΠΟΛΟΓΙΣΜΟΙ!AW51,pin!$D$5:$T$5,0))-INDEX(pin!$D$6:$T$42,MATCH(ΥΠΟΛΟΓΙΣΜΟΙ!AZ51,pin!$B$6:$B$42,0),MATCH(ΥΠΟΛΟΓΙΣΜΟΙ!AW51,pin!$D$5:$T$5,0)))</f>
        <v>1</v>
      </c>
      <c r="BB51" s="203">
        <f>INDEX(pin!$D$6:$T$42,MATCH(ΥΠΟΛΟΓΙΣΜΟΙ!AY51,pin!$B$6:$B$42,0),MATCH(ΥΠΟΛΟΓΙΣΜΟΙ!AX51,pin!$D$5:$T$5,0))+0.4*(AY51-AE51)*(INDEX(pin!$D$6:$T$42,MATCH(ΥΠΟΛΟΓΙΣΜΟΙ!AY51,pin!$B$6:$B$42,0),MATCH(ΥΠΟΛΟΓΙΣΜΟΙ!AX51,pin!$D$5:$T$5,0))-INDEX(pin!$D$6:$T$42,MATCH(ΥΠΟΛΟΓΙΣΜΟΙ!AZ51,pin!$B$6:$B$42,0),MATCH(ΥΠΟΛΟΓΙΣΜΟΙ!AX51,pin!$D$5:$T$5,0)))</f>
        <v>1</v>
      </c>
      <c r="BC51" s="188">
        <f>INDEX(pin!$X$6:$AN$42,MATCH(ΥΠΟΛΟΓΙΣΜΟΙ!AY51,pin!$V$6:$V$42,0),MATCH(ΥΠΟΛΟΓΙΣΜΟΙ!AW51,pin!$X$5:$AN$5,0))+0.4*(AY51-AE51)*(INDEX(pin!$X$6:$AN$42,MATCH(ΥΠΟΛΟΓΙΣΜΟΙ!AY51,pin!$V$6:$V$42,0),MATCH(ΥΠΟΛΟΓΙΣΜΟΙ!AW51,pin!$X$5:$AN$5,0))-INDEX(pin!$X$6:$AN$42,MATCH(ΥΠΟΛΟΓΙΣΜΟΙ!AZ51,pin!$V$6:$V$42,0),MATCH(ΥΠΟΛΟΓΙΣΜΟΙ!AW51,pin!$X$5:$AN$5,0)))</f>
        <v>1</v>
      </c>
      <c r="BD51" s="188">
        <f>INDEX(pin!$X$6:$AN$42,MATCH(ΥΠΟΛΟΓΙΣΜΟΙ!AY51,pin!$V$6:$V$42,0),MATCH(ΥΠΟΛΟΓΙΣΜΟΙ!AX51,pin!$X$5:$AN$5,0))+0.4*(AY51-AE51)*(INDEX(pin!$X$6:$AN$42,MATCH(ΥΠΟΛΟΓΙΣΜΟΙ!AY51,pin!$V$6:$V$42,0),MATCH(ΥΠΟΛΟΓΙΣΜΟΙ!AX51,pin!$X$5:$AN$5,0))-INDEX(pin!$X$6:$AN$42,MATCH(ΥΠΟΛΟΓΙΣΜΟΙ!AZ51,pin!$V$6:$V$42,0),MATCH(ΥΠΟΛΟΓΙΣΜΟΙ!AX51,pin!$X$5:$AN$5,0)))</f>
        <v>1</v>
      </c>
      <c r="BE51" s="187">
        <f t="shared" si="95"/>
        <v>0</v>
      </c>
      <c r="BF51" s="188">
        <f t="shared" si="96"/>
        <v>0</v>
      </c>
      <c r="BG51" s="188">
        <f>INDEX(pin!$D$48:$T$84,MATCH(ΥΠΟΛΟΓΙΣΜΟΙ!BE51,pin!$B$48:$B$84,0),MATCH(ΥΠΟΛΟΓΙΣΜΟΙ!AW51,pin!$D$47:$T$47,0))+0.4*(BE51-AF51)*(INDEX(pin!$D$48:$T$84,MATCH(ΥΠΟΛΟΓΙΣΜΟΙ!BE51,pin!$B$48:$B$84,0),MATCH(ΥΠΟΛΟΓΙΣΜΟΙ!AW51,pin!$D$47:$T$47,0))-INDEX(pin!$D$48:$T$84,MATCH(ΥΠΟΛΟΓΙΣΜΟΙ!BF51,pin!$B$48:$B$84,0),MATCH(ΥΠΟΛΟΓΙΣΜΟΙ!AW51,pin!$D$47:$T$47,0)))</f>
        <v>1</v>
      </c>
      <c r="BH51" s="188">
        <f>INDEX(pin!$D$48:$T$84,MATCH(ΥΠΟΛΟΓΙΣΜΟΙ!BE51,pin!$B$48:$B$84,0),MATCH(ΥΠΟΛΟΓΙΣΜΟΙ!AX51,pin!$D$47:$T$47,0))+0.4*(BE51-AF51)*(INDEX(pin!$D$48:$T$84,MATCH(ΥΠΟΛΟΓΙΣΜΟΙ!BE51,pin!$B$48:$B$84,0),MATCH(ΥΠΟΛΟΓΙΣΜΟΙ!AX51,pin!$D$47:$T$47,0))-INDEX(pin!$D$48:$T$84,MATCH(ΥΠΟΛΟΓΙΣΜΟΙ!BF51,pin!$B$48:$B$84,0),MATCH(ΥΠΟΛΟΓΙΣΜΟΙ!AX51,pin!$D$47:$T$47,0)))</f>
        <v>1</v>
      </c>
      <c r="BI51" s="187">
        <f>INDEX(pin!$X$48:$AN$84,MATCH(ΥΠΟΛΟΓΙΣΜΟΙ!BE51,pin!$V$48:$V$84,0),MATCH(ΥΠΟΛΟΓΙΣΜΟΙ!AW51,pin!$X$47:$AN$47,0))+0.4*(BE51-AF51)*(INDEX(pin!$X$48:$AN$84,MATCH(ΥΠΟΛΟΓΙΣΜΟΙ!BE51,pin!$V$48:$V$84,0),MATCH(ΥΠΟΛΟΓΙΣΜΟΙ!AW51,pin!$X$47:$AN$47,0))-INDEX(pin!$X$48:$AN$84,MATCH(ΥΠΟΛΟΓΙΣΜΟΙ!BF51,pin!$V$48:$V$84,0),MATCH(ΥΠΟΛΟΓΙΣΜΟΙ!AW51,pin!$X$47:$AN$47,0)))</f>
        <v>1</v>
      </c>
      <c r="BJ51" s="203">
        <f>INDEX(pin!$X$48:$AN$84,MATCH(ΥΠΟΛΟΓΙΣΜΟΙ!BE51,pin!$V$48:$V$84,0),MATCH(ΥΠΟΛΟΓΙΣΜΟΙ!AX51,pin!$X$47:$AN$47,0))+0.4*(BE51-AF51)*(INDEX(pin!$X$48:$AN$84,MATCH(ΥΠΟΛΟΓΙΣΜΟΙ!BE51,pin!$V$48:$V$84,0),MATCH(ΥΠΟΛΟΓΙΣΜΟΙ!AX51,pin!$X$47:$AN$47,0))-INDEX(pin!$X$48:$AN$84,MATCH(ΥΠΟΛΟΓΙΣΜΟΙ!BF51,pin!$V$48:$V$84,0),MATCH(ΥΠΟΛΟΓΙΣΜΟΙ!AX51,pin!$X$47:$AN$47,0)))</f>
        <v>1</v>
      </c>
      <c r="BK51" s="187">
        <f t="shared" si="97"/>
        <v>0</v>
      </c>
      <c r="BL51" s="188">
        <f t="shared" si="98"/>
        <v>0</v>
      </c>
      <c r="BM51" s="188">
        <f>INDEX(pin!$X$48:$AN$84,MATCH(ΥΠΟΛΟΓΙΣΜΟΙ!BK51,pin!$V$48:$V$84,0),MATCH(ΥΠΟΛΟΓΙΣΜΟΙ!AW51,pin!$X$47:$AN$47,0))+0.4*(BK51-AG51)*(INDEX(pin!$X$48:$AN$84,MATCH(ΥΠΟΛΟΓΙΣΜΟΙ!BK51,pin!$V$48:$V$84,0),MATCH(ΥΠΟΛΟΓΙΣΜΟΙ!AW51,pin!$X$47:$AN$47,0))-INDEX(pin!$X$48:$AN$84,MATCH(ΥΠΟΛΟΓΙΣΜΟΙ!BL51,pin!$V$48:$V$84,0),MATCH(ΥΠΟΛΟΓΙΣΜΟΙ!AW51,pin!$X$47:$AN$47,0)))</f>
        <v>1</v>
      </c>
      <c r="BN51" s="203">
        <f>INDEX(pin!$X$48:$AN$84,MATCH(ΥΠΟΛΟΓΙΣΜΟΙ!BK51,pin!$V$48:$V$84,0),MATCH(ΥΠΟΛΟΓΙΣΜΟΙ!AX51,pin!$X$47:$AN$47,0))+0.4*(BK51-AG51)*(INDEX(pin!$X$48:$AN$84,MATCH(ΥΠΟΛΟΓΙΣΜΟΙ!BK51,pin!$V$48:$V$84,0),MATCH(ΥΠΟΛΟΓΙΣΜΟΙ!AX51,pin!$X$47:$AN$47,0))-INDEX(pin!$X$48:$AN$84,MATCH(ΥΠΟΛΟΓΙΣΜΟΙ!BL51,pin!$V$48:$V$84,0),MATCH(ΥΠΟΛΟΓΙΣΜΟΙ!AX51,pin!$X$47:$AN$47,0)))</f>
        <v>1</v>
      </c>
      <c r="BO51" s="187">
        <f t="shared" si="99"/>
        <v>0</v>
      </c>
      <c r="BP51" s="188">
        <f t="shared" si="100"/>
        <v>0</v>
      </c>
      <c r="BQ51" s="188">
        <f>INDEX(pin!$D$114:$T$132,MATCH(ΥΠΟΛΟΓΙΣΜΟΙ!BO51,pin!$B$114:$B$132,0),MATCH(ΥΠΟΛΟΓΙΣΜΟΙ!AW51,pin!$D$113:$T$113,0))+0.2*(BO51-AH51)*(INDEX(pin!$D$114:$T$132,MATCH(ΥΠΟΛΟΓΙΣΜΟΙ!BO51,pin!$B$114:$B$132,0),MATCH(ΥΠΟΛΟΓΙΣΜΟΙ!AW51,pin!$D$113:$T$113,0))-INDEX(pin!$D$114:$T$132,MATCH(ΥΠΟΛΟΓΙΣΜΟΙ!BP51,pin!$B$114:$B$132,0),MATCH(ΥΠΟΛΟΓΙΣΜΟΙ!AW51,pin!$D$113:$T$113,0)))</f>
        <v>1</v>
      </c>
      <c r="BR51" s="188">
        <f>INDEX(pin!$D$114:$T$132,MATCH(ΥΠΟΛΟΓΙΣΜΟΙ!BO51,pin!$B$114:$B$132,0),MATCH(ΥΠΟΛΟΓΙΣΜΟΙ!AX51,pin!$D$113:$T$113,0))+0.2*(BO51-AH51)*(INDEX(pin!$D$114:$T$132,MATCH(ΥΠΟΛΟΓΙΣΜΟΙ!BO51,pin!$B$114:$B$132,0),MATCH(ΥΠΟΛΟΓΙΣΜΟΙ!AX51,pin!$D$113:$T$113,0))-INDEX(pin!$D$114:$T$132,MATCH(ΥΠΟΛΟΓΙΣΜΟΙ!BP51,pin!$B$114:$B$132,0),MATCH(ΥΠΟΛΟΓΙΣΜΟΙ!AX51,pin!$D$113:$T$113,0)))</f>
        <v>1</v>
      </c>
      <c r="BS51" s="187">
        <f>INDEX(pin!$X$114:$AN$132,MATCH(ΥΠΟΛΟΓΙΣΜΟΙ!BO51,pin!$V$114:$V$132,0),MATCH(ΥΠΟΛΟΓΙΣΜΟΙ!AW51,pin!$X$113:$AN$113,0))+0.2*(BO51-AH51)*(INDEX(pin!$X$114:$AN$132,MATCH(ΥΠΟΛΟΓΙΣΜΟΙ!BO51,pin!$V$114:$V$132,0),MATCH(ΥΠΟΛΟΓΙΣΜΟΙ!AW51,pin!$X$113:$AN$113,0))-INDEX(pin!$X$114:$AN$132,MATCH(ΥΠΟΛΟΓΙΣΜΟΙ!BP51,pin!$V$114:$V$132,0),MATCH(ΥΠΟΛΟΓΙΣΜΟΙ!AW51,pin!$X$113:$AN$113,0)))</f>
        <v>1</v>
      </c>
      <c r="BT51" s="203">
        <f>INDEX(pin!$X$114:$AN$132,MATCH(ΥΠΟΛΟΓΙΣΜΟΙ!BO51,pin!$V$114:$V$132,0),MATCH(ΥΠΟΛΟΓΙΣΜΟΙ!AX51,pin!$X$113:$AN$113,0))+0.2*(BO51-AH51)*(INDEX(pin!$X$114:$AN$132,MATCH(ΥΠΟΛΟΓΙΣΜΟΙ!BO51,pin!$V$114:$V$132,0),MATCH(ΥΠΟΛΟΓΙΣΜΟΙ!AX51,pin!$X$113:$AN$113,0))-INDEX(pin!$X$114:$AN$132,MATCH(ΥΠΟΛΟΓΙΣΜΟΙ!BP51,pin!$V$114:$V$132,0),MATCH(ΥΠΟΛΟΓΙΣΜΟΙ!AX51,pin!$X$113:$AN$113,0)))</f>
        <v>1</v>
      </c>
      <c r="BU51" s="187">
        <f t="shared" si="101"/>
        <v>0</v>
      </c>
      <c r="BV51" s="188">
        <f t="shared" si="102"/>
        <v>0</v>
      </c>
      <c r="BW51" s="188">
        <f>INDEX(pin!$D$90:$T$108,MATCH(ΥΠΟΛΟΓΙΣΜΟΙ!BU51,pin!$B$90:$B$108,0),MATCH(ΥΠΟΛΟΓΙΣΜΟΙ!AW51,pin!$D$89:$T$89,0))+0.2*(BU51-AI51)*(INDEX(pin!$D$90:$T$108,MATCH(ΥΠΟΛΟΓΙΣΜΟΙ!BU51,pin!$B$90:$B$108,0),MATCH(ΥΠΟΛΟΓΙΣΜΟΙ!AW51,pin!$D$89:$T$89,0))-INDEX(pin!$D$90:$T$108,MATCH(ΥΠΟΛΟΓΙΣΜΟΙ!BV51,pin!$B$90:$B$108,0),MATCH(ΥΠΟΛΟΓΙΣΜΟΙ!AW51,pin!$D$89:$T$89,0)))</f>
        <v>1</v>
      </c>
      <c r="BX51" s="203">
        <f>INDEX(pin!$D$90:$T$108,MATCH(ΥΠΟΛΟΓΙΣΜΟΙ!BU51,pin!$B$90:$B$108,0),MATCH(ΥΠΟΛΟΓΙΣΜΟΙ!AX51,pin!$D$89:$T$89,0))+0.2*(BU51-AI51)*(INDEX(pin!$D$90:$T$108,MATCH(ΥΠΟΛΟΓΙΣΜΟΙ!BU51,pin!$B$90:$B$108,0),MATCH(ΥΠΟΛΟΓΙΣΜΟΙ!AX51,pin!$D$89:$T$89,0))-INDEX(pin!$D$90:$T$108,MATCH(ΥΠΟΛΟΓΙΣΜΟΙ!BV51,pin!$B$90:$B$108,0),MATCH(ΥΠΟΛΟΓΙΣΜΟΙ!AX51,pin!$D$89:$T$89,0)))</f>
        <v>1</v>
      </c>
      <c r="BY51" s="188">
        <f>INDEX(pin!$X$90:$AN$108,MATCH(ΥΠΟΛΟΓΙΣΜΟΙ!BU51,pin!$V$90:$V$108,0),MATCH(ΥΠΟΛΟΓΙΣΜΟΙ!AW51,pin!$X$89:$AN$89,0))+0.2*(BU51-AI51)*(INDEX(pin!$X$90:$AN$108,MATCH(ΥΠΟΛΟΓΙΣΜΟΙ!BU51,pin!$V$90:$V$108,0),MATCH(ΥΠΟΛΟΓΙΣΜΟΙ!AW51,pin!$X$89:$AN$89,0))-INDEX(pin!$X$90:$AN$108,MATCH(ΥΠΟΛΟΓΙΣΜΟΙ!BV51,pin!$V$90:$V$108,0),MATCH(ΥΠΟΛΟΓΙΣΜΟΙ!AW51,pin!$X$89:$AN$89,0)))</f>
        <v>1</v>
      </c>
      <c r="BZ51" s="203">
        <f>INDEX(pin!$X$90:$AN$108,MATCH(ΥΠΟΛΟΓΙΣΜΟΙ!BU51,pin!$V$90:$V$108,0),MATCH(ΥΠΟΛΟΓΙΣΜΟΙ!AX51,pin!$X$89:$AN$89,0))+0.2*(BU51-AI51)*(INDEX(pin!$X$90:$AN$108,MATCH(ΥΠΟΛΟΓΙΣΜΟΙ!BU51,pin!$V$90:$V$108,0),MATCH(ΥΠΟΛΟΓΙΣΜΟΙ!AX51,pin!$X$89:$AN$89,0))-INDEX(pin!$X$90:$AN$108,MATCH(ΥΠΟΛΟΓΙΣΜΟΙ!BV51,pin!$V$90:$V$108,0),MATCH(ΥΠΟΛΟΓΙΣΜΟΙ!AX51,pin!$X$89:$AN$89,0)))</f>
        <v>1</v>
      </c>
      <c r="CA51" s="189"/>
    </row>
    <row r="52" spans="1:119" s="34" customFormat="1">
      <c r="A52" s="56">
        <v>7</v>
      </c>
      <c r="B52" s="118"/>
      <c r="C52" s="116"/>
      <c r="D52" s="116"/>
      <c r="E52" s="116"/>
      <c r="F52" s="47" t="str">
        <f t="shared" si="103"/>
        <v>-</v>
      </c>
      <c r="G52" s="81" t="str">
        <f t="shared" si="104"/>
        <v>-</v>
      </c>
      <c r="H52" s="235"/>
      <c r="I52" s="119"/>
      <c r="J52" s="269" t="s">
        <v>607</v>
      </c>
      <c r="K52" s="123"/>
      <c r="L52" s="387"/>
      <c r="M52" s="560" t="s">
        <v>670</v>
      </c>
      <c r="N52" s="561"/>
      <c r="O52" s="46">
        <f t="shared" si="105"/>
        <v>1</v>
      </c>
      <c r="P52" s="120">
        <f t="shared" si="106"/>
        <v>1</v>
      </c>
      <c r="Q52" s="46">
        <f t="shared" si="107"/>
        <v>1</v>
      </c>
      <c r="R52" s="120">
        <f t="shared" si="108"/>
        <v>1</v>
      </c>
      <c r="S52" s="46">
        <f t="shared" si="109"/>
        <v>1</v>
      </c>
      <c r="T52" s="120">
        <f t="shared" si="110"/>
        <v>1</v>
      </c>
      <c r="U52" s="121"/>
      <c r="V52" s="124" t="str">
        <f t="shared" si="111"/>
        <v>-</v>
      </c>
      <c r="W52" s="116"/>
      <c r="X52" s="124" t="str">
        <f t="shared" si="112"/>
        <v>-</v>
      </c>
      <c r="Y52" s="152"/>
      <c r="Z52" s="122"/>
      <c r="AA52" s="116"/>
      <c r="AB52" s="116"/>
      <c r="AC52" s="121"/>
      <c r="AD52" s="117"/>
      <c r="AE52" s="204">
        <f t="shared" si="113"/>
        <v>0</v>
      </c>
      <c r="AF52" s="180">
        <f t="shared" si="114"/>
        <v>0</v>
      </c>
      <c r="AG52" s="206">
        <f t="shared" si="115"/>
        <v>0</v>
      </c>
      <c r="AH52" s="180">
        <f t="shared" si="116"/>
        <v>0</v>
      </c>
      <c r="AI52" s="180">
        <f t="shared" si="117"/>
        <v>0</v>
      </c>
      <c r="AJ52" s="181">
        <f t="shared" si="123"/>
        <v>1</v>
      </c>
      <c r="AK52" s="181">
        <f t="shared" si="118"/>
        <v>1</v>
      </c>
      <c r="AL52" s="181">
        <f t="shared" si="119"/>
        <v>1</v>
      </c>
      <c r="AM52" s="181">
        <f t="shared" si="124"/>
        <v>1</v>
      </c>
      <c r="AN52" s="187">
        <f t="shared" si="120"/>
        <v>0</v>
      </c>
      <c r="AO52" s="188"/>
      <c r="AP52" s="188"/>
      <c r="AQ52" s="188"/>
      <c r="AR52" s="188"/>
      <c r="AS52" s="188"/>
      <c r="AT52" s="188"/>
      <c r="AU52" s="188"/>
      <c r="AV52" s="188" t="s">
        <v>256</v>
      </c>
      <c r="AW52" s="188">
        <f t="shared" si="121"/>
        <v>0</v>
      </c>
      <c r="AX52" s="203">
        <f t="shared" si="122"/>
        <v>0</v>
      </c>
      <c r="AY52" s="187">
        <f t="shared" si="93"/>
        <v>0</v>
      </c>
      <c r="AZ52" s="188">
        <f t="shared" si="94"/>
        <v>0</v>
      </c>
      <c r="BA52" s="188">
        <f>INDEX(pin!$D$6:$T$42,MATCH(ΥΠΟΛΟΓΙΣΜΟΙ!AY52,pin!$B$6:$B$42,0),MATCH(ΥΠΟΛΟΓΙΣΜΟΙ!AW52,pin!$D$5:$T$5,0))+0.4*(AY52-AE52)*(INDEX(pin!$D$6:$T$42,MATCH(ΥΠΟΛΟΓΙΣΜΟΙ!AY52,pin!$B$6:$B$42,0),MATCH(ΥΠΟΛΟΓΙΣΜΟΙ!AW52,pin!$D$5:$T$5,0))-INDEX(pin!$D$6:$T$42,MATCH(ΥΠΟΛΟΓΙΣΜΟΙ!AZ52,pin!$B$6:$B$42,0),MATCH(ΥΠΟΛΟΓΙΣΜΟΙ!AW52,pin!$D$5:$T$5,0)))</f>
        <v>1</v>
      </c>
      <c r="BB52" s="203">
        <f>INDEX(pin!$D$6:$T$42,MATCH(ΥΠΟΛΟΓΙΣΜΟΙ!AY52,pin!$B$6:$B$42,0),MATCH(ΥΠΟΛΟΓΙΣΜΟΙ!AX52,pin!$D$5:$T$5,0))+0.4*(AY52-AE52)*(INDEX(pin!$D$6:$T$42,MATCH(ΥΠΟΛΟΓΙΣΜΟΙ!AY52,pin!$B$6:$B$42,0),MATCH(ΥΠΟΛΟΓΙΣΜΟΙ!AX52,pin!$D$5:$T$5,0))-INDEX(pin!$D$6:$T$42,MATCH(ΥΠΟΛΟΓΙΣΜΟΙ!AZ52,pin!$B$6:$B$42,0),MATCH(ΥΠΟΛΟΓΙΣΜΟΙ!AX52,pin!$D$5:$T$5,0)))</f>
        <v>1</v>
      </c>
      <c r="BC52" s="188">
        <f>INDEX(pin!$X$6:$AN$42,MATCH(ΥΠΟΛΟΓΙΣΜΟΙ!AY52,pin!$V$6:$V$42,0),MATCH(ΥΠΟΛΟΓΙΣΜΟΙ!AW52,pin!$X$5:$AN$5,0))+0.4*(AY52-AE52)*(INDEX(pin!$X$6:$AN$42,MATCH(ΥΠΟΛΟΓΙΣΜΟΙ!AY52,pin!$V$6:$V$42,0),MATCH(ΥΠΟΛΟΓΙΣΜΟΙ!AW52,pin!$X$5:$AN$5,0))-INDEX(pin!$X$6:$AN$42,MATCH(ΥΠΟΛΟΓΙΣΜΟΙ!AZ52,pin!$V$6:$V$42,0),MATCH(ΥΠΟΛΟΓΙΣΜΟΙ!AW52,pin!$X$5:$AN$5,0)))</f>
        <v>1</v>
      </c>
      <c r="BD52" s="188">
        <f>INDEX(pin!$X$6:$AN$42,MATCH(ΥΠΟΛΟΓΙΣΜΟΙ!AY52,pin!$V$6:$V$42,0),MATCH(ΥΠΟΛΟΓΙΣΜΟΙ!AX52,pin!$X$5:$AN$5,0))+0.4*(AY52-AE52)*(INDEX(pin!$X$6:$AN$42,MATCH(ΥΠΟΛΟΓΙΣΜΟΙ!AY52,pin!$V$6:$V$42,0),MATCH(ΥΠΟΛΟΓΙΣΜΟΙ!AX52,pin!$X$5:$AN$5,0))-INDEX(pin!$X$6:$AN$42,MATCH(ΥΠΟΛΟΓΙΣΜΟΙ!AZ52,pin!$V$6:$V$42,0),MATCH(ΥΠΟΛΟΓΙΣΜΟΙ!AX52,pin!$X$5:$AN$5,0)))</f>
        <v>1</v>
      </c>
      <c r="BE52" s="187">
        <f t="shared" si="95"/>
        <v>0</v>
      </c>
      <c r="BF52" s="188">
        <f t="shared" si="96"/>
        <v>0</v>
      </c>
      <c r="BG52" s="188">
        <f>INDEX(pin!$D$48:$T$84,MATCH(ΥΠΟΛΟΓΙΣΜΟΙ!BE52,pin!$B$48:$B$84,0),MATCH(ΥΠΟΛΟΓΙΣΜΟΙ!AW52,pin!$D$47:$T$47,0))+0.4*(BE52-AF52)*(INDEX(pin!$D$48:$T$84,MATCH(ΥΠΟΛΟΓΙΣΜΟΙ!BE52,pin!$B$48:$B$84,0),MATCH(ΥΠΟΛΟΓΙΣΜΟΙ!AW52,pin!$D$47:$T$47,0))-INDEX(pin!$D$48:$T$84,MATCH(ΥΠΟΛΟΓΙΣΜΟΙ!BF52,pin!$B$48:$B$84,0),MATCH(ΥΠΟΛΟΓΙΣΜΟΙ!AW52,pin!$D$47:$T$47,0)))</f>
        <v>1</v>
      </c>
      <c r="BH52" s="188">
        <f>INDEX(pin!$D$48:$T$84,MATCH(ΥΠΟΛΟΓΙΣΜΟΙ!BE52,pin!$B$48:$B$84,0),MATCH(ΥΠΟΛΟΓΙΣΜΟΙ!AX52,pin!$D$47:$T$47,0))+0.4*(BE52-AF52)*(INDEX(pin!$D$48:$T$84,MATCH(ΥΠΟΛΟΓΙΣΜΟΙ!BE52,pin!$B$48:$B$84,0),MATCH(ΥΠΟΛΟΓΙΣΜΟΙ!AX52,pin!$D$47:$T$47,0))-INDEX(pin!$D$48:$T$84,MATCH(ΥΠΟΛΟΓΙΣΜΟΙ!BF52,pin!$B$48:$B$84,0),MATCH(ΥΠΟΛΟΓΙΣΜΟΙ!AX52,pin!$D$47:$T$47,0)))</f>
        <v>1</v>
      </c>
      <c r="BI52" s="187">
        <f>INDEX(pin!$X$48:$AN$84,MATCH(ΥΠΟΛΟΓΙΣΜΟΙ!BE52,pin!$V$48:$V$84,0),MATCH(ΥΠΟΛΟΓΙΣΜΟΙ!AW52,pin!$X$47:$AN$47,0))+0.4*(BE52-AF52)*(INDEX(pin!$X$48:$AN$84,MATCH(ΥΠΟΛΟΓΙΣΜΟΙ!BE52,pin!$V$48:$V$84,0),MATCH(ΥΠΟΛΟΓΙΣΜΟΙ!AW52,pin!$X$47:$AN$47,0))-INDEX(pin!$X$48:$AN$84,MATCH(ΥΠΟΛΟΓΙΣΜΟΙ!BF52,pin!$V$48:$V$84,0),MATCH(ΥΠΟΛΟΓΙΣΜΟΙ!AW52,pin!$X$47:$AN$47,0)))</f>
        <v>1</v>
      </c>
      <c r="BJ52" s="203">
        <f>INDEX(pin!$X$48:$AN$84,MATCH(ΥΠΟΛΟΓΙΣΜΟΙ!BE52,pin!$V$48:$V$84,0),MATCH(ΥΠΟΛΟΓΙΣΜΟΙ!AX52,pin!$X$47:$AN$47,0))+0.4*(BE52-AF52)*(INDEX(pin!$X$48:$AN$84,MATCH(ΥΠΟΛΟΓΙΣΜΟΙ!BE52,pin!$V$48:$V$84,0),MATCH(ΥΠΟΛΟΓΙΣΜΟΙ!AX52,pin!$X$47:$AN$47,0))-INDEX(pin!$X$48:$AN$84,MATCH(ΥΠΟΛΟΓΙΣΜΟΙ!BF52,pin!$V$48:$V$84,0),MATCH(ΥΠΟΛΟΓΙΣΜΟΙ!AX52,pin!$X$47:$AN$47,0)))</f>
        <v>1</v>
      </c>
      <c r="BK52" s="187">
        <f t="shared" si="97"/>
        <v>0</v>
      </c>
      <c r="BL52" s="188">
        <f t="shared" si="98"/>
        <v>0</v>
      </c>
      <c r="BM52" s="188">
        <f>INDEX(pin!$X$48:$AN$84,MATCH(ΥΠΟΛΟΓΙΣΜΟΙ!BK52,pin!$V$48:$V$84,0),MATCH(ΥΠΟΛΟΓΙΣΜΟΙ!AW52,pin!$X$47:$AN$47,0))+0.4*(BK52-AG52)*(INDEX(pin!$X$48:$AN$84,MATCH(ΥΠΟΛΟΓΙΣΜΟΙ!BK52,pin!$V$48:$V$84,0),MATCH(ΥΠΟΛΟΓΙΣΜΟΙ!AW52,pin!$X$47:$AN$47,0))-INDEX(pin!$X$48:$AN$84,MATCH(ΥΠΟΛΟΓΙΣΜΟΙ!BL52,pin!$V$48:$V$84,0),MATCH(ΥΠΟΛΟΓΙΣΜΟΙ!AW52,pin!$X$47:$AN$47,0)))</f>
        <v>1</v>
      </c>
      <c r="BN52" s="203">
        <f>INDEX(pin!$X$48:$AN$84,MATCH(ΥΠΟΛΟΓΙΣΜΟΙ!BK52,pin!$V$48:$V$84,0),MATCH(ΥΠΟΛΟΓΙΣΜΟΙ!AX52,pin!$X$47:$AN$47,0))+0.4*(BK52-AG52)*(INDEX(pin!$X$48:$AN$84,MATCH(ΥΠΟΛΟΓΙΣΜΟΙ!BK52,pin!$V$48:$V$84,0),MATCH(ΥΠΟΛΟΓΙΣΜΟΙ!AX52,pin!$X$47:$AN$47,0))-INDEX(pin!$X$48:$AN$84,MATCH(ΥΠΟΛΟΓΙΣΜΟΙ!BL52,pin!$V$48:$V$84,0),MATCH(ΥΠΟΛΟΓΙΣΜΟΙ!AX52,pin!$X$47:$AN$47,0)))</f>
        <v>1</v>
      </c>
      <c r="BO52" s="187">
        <f t="shared" si="99"/>
        <v>0</v>
      </c>
      <c r="BP52" s="188">
        <f t="shared" si="100"/>
        <v>0</v>
      </c>
      <c r="BQ52" s="188">
        <f>INDEX(pin!$D$114:$T$132,MATCH(ΥΠΟΛΟΓΙΣΜΟΙ!BO52,pin!$B$114:$B$132,0),MATCH(ΥΠΟΛΟΓΙΣΜΟΙ!AW52,pin!$D$113:$T$113,0))+0.2*(BO52-AH52)*(INDEX(pin!$D$114:$T$132,MATCH(ΥΠΟΛΟΓΙΣΜΟΙ!BO52,pin!$B$114:$B$132,0),MATCH(ΥΠΟΛΟΓΙΣΜΟΙ!AW52,pin!$D$113:$T$113,0))-INDEX(pin!$D$114:$T$132,MATCH(ΥΠΟΛΟΓΙΣΜΟΙ!BP52,pin!$B$114:$B$132,0),MATCH(ΥΠΟΛΟΓΙΣΜΟΙ!AW52,pin!$D$113:$T$113,0)))</f>
        <v>1</v>
      </c>
      <c r="BR52" s="188">
        <f>INDEX(pin!$D$114:$T$132,MATCH(ΥΠΟΛΟΓΙΣΜΟΙ!BO52,pin!$B$114:$B$132,0),MATCH(ΥΠΟΛΟΓΙΣΜΟΙ!AX52,pin!$D$113:$T$113,0))+0.2*(BO52-AH52)*(INDEX(pin!$D$114:$T$132,MATCH(ΥΠΟΛΟΓΙΣΜΟΙ!BO52,pin!$B$114:$B$132,0),MATCH(ΥΠΟΛΟΓΙΣΜΟΙ!AX52,pin!$D$113:$T$113,0))-INDEX(pin!$D$114:$T$132,MATCH(ΥΠΟΛΟΓΙΣΜΟΙ!BP52,pin!$B$114:$B$132,0),MATCH(ΥΠΟΛΟΓΙΣΜΟΙ!AX52,pin!$D$113:$T$113,0)))</f>
        <v>1</v>
      </c>
      <c r="BS52" s="187">
        <f>INDEX(pin!$X$114:$AN$132,MATCH(ΥΠΟΛΟΓΙΣΜΟΙ!BO52,pin!$V$114:$V$132,0),MATCH(ΥΠΟΛΟΓΙΣΜΟΙ!AW52,pin!$X$113:$AN$113,0))+0.2*(BO52-AH52)*(INDEX(pin!$X$114:$AN$132,MATCH(ΥΠΟΛΟΓΙΣΜΟΙ!BO52,pin!$V$114:$V$132,0),MATCH(ΥΠΟΛΟΓΙΣΜΟΙ!AW52,pin!$X$113:$AN$113,0))-INDEX(pin!$X$114:$AN$132,MATCH(ΥΠΟΛΟΓΙΣΜΟΙ!BP52,pin!$V$114:$V$132,0),MATCH(ΥΠΟΛΟΓΙΣΜΟΙ!AW52,pin!$X$113:$AN$113,0)))</f>
        <v>1</v>
      </c>
      <c r="BT52" s="203">
        <f>INDEX(pin!$X$114:$AN$132,MATCH(ΥΠΟΛΟΓΙΣΜΟΙ!BO52,pin!$V$114:$V$132,0),MATCH(ΥΠΟΛΟΓΙΣΜΟΙ!AX52,pin!$X$113:$AN$113,0))+0.2*(BO52-AH52)*(INDEX(pin!$X$114:$AN$132,MATCH(ΥΠΟΛΟΓΙΣΜΟΙ!BO52,pin!$V$114:$V$132,0),MATCH(ΥΠΟΛΟΓΙΣΜΟΙ!AX52,pin!$X$113:$AN$113,0))-INDEX(pin!$X$114:$AN$132,MATCH(ΥΠΟΛΟΓΙΣΜΟΙ!BP52,pin!$V$114:$V$132,0),MATCH(ΥΠΟΛΟΓΙΣΜΟΙ!AX52,pin!$X$113:$AN$113,0)))</f>
        <v>1</v>
      </c>
      <c r="BU52" s="187">
        <f t="shared" si="101"/>
        <v>0</v>
      </c>
      <c r="BV52" s="188">
        <f t="shared" si="102"/>
        <v>0</v>
      </c>
      <c r="BW52" s="188">
        <f>INDEX(pin!$D$90:$T$108,MATCH(ΥΠΟΛΟΓΙΣΜΟΙ!BU52,pin!$B$90:$B$108,0),MATCH(ΥΠΟΛΟΓΙΣΜΟΙ!AW52,pin!$D$89:$T$89,0))+0.2*(BU52-AI52)*(INDEX(pin!$D$90:$T$108,MATCH(ΥΠΟΛΟΓΙΣΜΟΙ!BU52,pin!$B$90:$B$108,0),MATCH(ΥΠΟΛΟΓΙΣΜΟΙ!AW52,pin!$D$89:$T$89,0))-INDEX(pin!$D$90:$T$108,MATCH(ΥΠΟΛΟΓΙΣΜΟΙ!BV52,pin!$B$90:$B$108,0),MATCH(ΥΠΟΛΟΓΙΣΜΟΙ!AW52,pin!$D$89:$T$89,0)))</f>
        <v>1</v>
      </c>
      <c r="BX52" s="203">
        <f>INDEX(pin!$D$90:$T$108,MATCH(ΥΠΟΛΟΓΙΣΜΟΙ!BU52,pin!$B$90:$B$108,0),MATCH(ΥΠΟΛΟΓΙΣΜΟΙ!AX52,pin!$D$89:$T$89,0))+0.2*(BU52-AI52)*(INDEX(pin!$D$90:$T$108,MATCH(ΥΠΟΛΟΓΙΣΜΟΙ!BU52,pin!$B$90:$B$108,0),MATCH(ΥΠΟΛΟΓΙΣΜΟΙ!AX52,pin!$D$89:$T$89,0))-INDEX(pin!$D$90:$T$108,MATCH(ΥΠΟΛΟΓΙΣΜΟΙ!BV52,pin!$B$90:$B$108,0),MATCH(ΥΠΟΛΟΓΙΣΜΟΙ!AX52,pin!$D$89:$T$89,0)))</f>
        <v>1</v>
      </c>
      <c r="BY52" s="188">
        <f>INDEX(pin!$X$90:$AN$108,MATCH(ΥΠΟΛΟΓΙΣΜΟΙ!BU52,pin!$V$90:$V$108,0),MATCH(ΥΠΟΛΟΓΙΣΜΟΙ!AW52,pin!$X$89:$AN$89,0))+0.2*(BU52-AI52)*(INDEX(pin!$X$90:$AN$108,MATCH(ΥΠΟΛΟΓΙΣΜΟΙ!BU52,pin!$V$90:$V$108,0),MATCH(ΥΠΟΛΟΓΙΣΜΟΙ!AW52,pin!$X$89:$AN$89,0))-INDEX(pin!$X$90:$AN$108,MATCH(ΥΠΟΛΟΓΙΣΜΟΙ!BV52,pin!$V$90:$V$108,0),MATCH(ΥΠΟΛΟΓΙΣΜΟΙ!AW52,pin!$X$89:$AN$89,0)))</f>
        <v>1</v>
      </c>
      <c r="BZ52" s="203">
        <f>INDEX(pin!$X$90:$AN$108,MATCH(ΥΠΟΛΟΓΙΣΜΟΙ!BU52,pin!$V$90:$V$108,0),MATCH(ΥΠΟΛΟΓΙΣΜΟΙ!AX52,pin!$X$89:$AN$89,0))+0.2*(BU52-AI52)*(INDEX(pin!$X$90:$AN$108,MATCH(ΥΠΟΛΟΓΙΣΜΟΙ!BU52,pin!$V$90:$V$108,0),MATCH(ΥΠΟΛΟΓΙΣΜΟΙ!AX52,pin!$X$89:$AN$89,0))-INDEX(pin!$X$90:$AN$108,MATCH(ΥΠΟΛΟΓΙΣΜΟΙ!BV52,pin!$V$90:$V$108,0),MATCH(ΥΠΟΛΟΓΙΣΜΟΙ!AX52,pin!$X$89:$AN$89,0)))</f>
        <v>1</v>
      </c>
      <c r="CA52" s="189"/>
    </row>
    <row r="53" spans="1:119" s="34" customFormat="1">
      <c r="A53" s="56">
        <v>8</v>
      </c>
      <c r="B53" s="118"/>
      <c r="C53" s="116"/>
      <c r="D53" s="116"/>
      <c r="E53" s="116"/>
      <c r="F53" s="47" t="str">
        <f t="shared" si="103"/>
        <v>-</v>
      </c>
      <c r="G53" s="81" t="str">
        <f t="shared" si="104"/>
        <v>-</v>
      </c>
      <c r="H53" s="235"/>
      <c r="I53" s="119"/>
      <c r="J53" s="269" t="s">
        <v>607</v>
      </c>
      <c r="K53" s="123"/>
      <c r="L53" s="387"/>
      <c r="M53" s="560" t="s">
        <v>670</v>
      </c>
      <c r="N53" s="561"/>
      <c r="O53" s="46">
        <f t="shared" si="105"/>
        <v>1</v>
      </c>
      <c r="P53" s="120">
        <f t="shared" si="106"/>
        <v>1</v>
      </c>
      <c r="Q53" s="46">
        <f t="shared" si="107"/>
        <v>1</v>
      </c>
      <c r="R53" s="120">
        <f t="shared" si="108"/>
        <v>1</v>
      </c>
      <c r="S53" s="46">
        <f t="shared" si="109"/>
        <v>1</v>
      </c>
      <c r="T53" s="120">
        <f t="shared" si="110"/>
        <v>1</v>
      </c>
      <c r="U53" s="121"/>
      <c r="V53" s="124" t="str">
        <f t="shared" si="111"/>
        <v>-</v>
      </c>
      <c r="W53" s="116"/>
      <c r="X53" s="124" t="str">
        <f t="shared" si="112"/>
        <v>-</v>
      </c>
      <c r="Y53" s="152"/>
      <c r="Z53" s="122"/>
      <c r="AA53" s="116"/>
      <c r="AB53" s="116"/>
      <c r="AC53" s="121"/>
      <c r="AD53" s="117"/>
      <c r="AE53" s="204">
        <f t="shared" si="113"/>
        <v>0</v>
      </c>
      <c r="AF53" s="180">
        <f t="shared" si="114"/>
        <v>0</v>
      </c>
      <c r="AG53" s="206">
        <f t="shared" si="115"/>
        <v>0</v>
      </c>
      <c r="AH53" s="180">
        <f t="shared" si="116"/>
        <v>0</v>
      </c>
      <c r="AI53" s="180">
        <f t="shared" si="117"/>
        <v>0</v>
      </c>
      <c r="AJ53" s="181">
        <f t="shared" si="123"/>
        <v>1</v>
      </c>
      <c r="AK53" s="181">
        <f t="shared" si="118"/>
        <v>1</v>
      </c>
      <c r="AL53" s="181">
        <f t="shared" si="119"/>
        <v>1</v>
      </c>
      <c r="AM53" s="181">
        <f t="shared" si="124"/>
        <v>1</v>
      </c>
      <c r="AN53" s="187">
        <f t="shared" si="120"/>
        <v>0</v>
      </c>
      <c r="AO53" s="188"/>
      <c r="AP53" s="188"/>
      <c r="AQ53" s="188"/>
      <c r="AR53" s="188"/>
      <c r="AS53" s="188"/>
      <c r="AT53" s="188"/>
      <c r="AU53" s="188"/>
      <c r="AV53" s="188" t="s">
        <v>256</v>
      </c>
      <c r="AW53" s="188">
        <f t="shared" si="121"/>
        <v>0</v>
      </c>
      <c r="AX53" s="203">
        <f t="shared" si="122"/>
        <v>0</v>
      </c>
      <c r="AY53" s="187">
        <f t="shared" si="93"/>
        <v>0</v>
      </c>
      <c r="AZ53" s="188">
        <f t="shared" si="94"/>
        <v>0</v>
      </c>
      <c r="BA53" s="188">
        <f>INDEX(pin!$D$6:$T$42,MATCH(ΥΠΟΛΟΓΙΣΜΟΙ!AY53,pin!$B$6:$B$42,0),MATCH(ΥΠΟΛΟΓΙΣΜΟΙ!AW53,pin!$D$5:$T$5,0))+0.4*(AY53-AE53)*(INDEX(pin!$D$6:$T$42,MATCH(ΥΠΟΛΟΓΙΣΜΟΙ!AY53,pin!$B$6:$B$42,0),MATCH(ΥΠΟΛΟΓΙΣΜΟΙ!AW53,pin!$D$5:$T$5,0))-INDEX(pin!$D$6:$T$42,MATCH(ΥΠΟΛΟΓΙΣΜΟΙ!AZ53,pin!$B$6:$B$42,0),MATCH(ΥΠΟΛΟΓΙΣΜΟΙ!AW53,pin!$D$5:$T$5,0)))</f>
        <v>1</v>
      </c>
      <c r="BB53" s="203">
        <f>INDEX(pin!$D$6:$T$42,MATCH(ΥΠΟΛΟΓΙΣΜΟΙ!AY53,pin!$B$6:$B$42,0),MATCH(ΥΠΟΛΟΓΙΣΜΟΙ!AX53,pin!$D$5:$T$5,0))+0.4*(AY53-AE53)*(INDEX(pin!$D$6:$T$42,MATCH(ΥΠΟΛΟΓΙΣΜΟΙ!AY53,pin!$B$6:$B$42,0),MATCH(ΥΠΟΛΟΓΙΣΜΟΙ!AX53,pin!$D$5:$T$5,0))-INDEX(pin!$D$6:$T$42,MATCH(ΥΠΟΛΟΓΙΣΜΟΙ!AZ53,pin!$B$6:$B$42,0),MATCH(ΥΠΟΛΟΓΙΣΜΟΙ!AX53,pin!$D$5:$T$5,0)))</f>
        <v>1</v>
      </c>
      <c r="BC53" s="188">
        <f>INDEX(pin!$X$6:$AN$42,MATCH(ΥΠΟΛΟΓΙΣΜΟΙ!AY53,pin!$V$6:$V$42,0),MATCH(ΥΠΟΛΟΓΙΣΜΟΙ!AW53,pin!$X$5:$AN$5,0))+0.4*(AY53-AE53)*(INDEX(pin!$X$6:$AN$42,MATCH(ΥΠΟΛΟΓΙΣΜΟΙ!AY53,pin!$V$6:$V$42,0),MATCH(ΥΠΟΛΟΓΙΣΜΟΙ!AW53,pin!$X$5:$AN$5,0))-INDEX(pin!$X$6:$AN$42,MATCH(ΥΠΟΛΟΓΙΣΜΟΙ!AZ53,pin!$V$6:$V$42,0),MATCH(ΥΠΟΛΟΓΙΣΜΟΙ!AW53,pin!$X$5:$AN$5,0)))</f>
        <v>1</v>
      </c>
      <c r="BD53" s="188">
        <f>INDEX(pin!$X$6:$AN$42,MATCH(ΥΠΟΛΟΓΙΣΜΟΙ!AY53,pin!$V$6:$V$42,0),MATCH(ΥΠΟΛΟΓΙΣΜΟΙ!AX53,pin!$X$5:$AN$5,0))+0.4*(AY53-AE53)*(INDEX(pin!$X$6:$AN$42,MATCH(ΥΠΟΛΟΓΙΣΜΟΙ!AY53,pin!$V$6:$V$42,0),MATCH(ΥΠΟΛΟΓΙΣΜΟΙ!AX53,pin!$X$5:$AN$5,0))-INDEX(pin!$X$6:$AN$42,MATCH(ΥΠΟΛΟΓΙΣΜΟΙ!AZ53,pin!$V$6:$V$42,0),MATCH(ΥΠΟΛΟΓΙΣΜΟΙ!AX53,pin!$X$5:$AN$5,0)))</f>
        <v>1</v>
      </c>
      <c r="BE53" s="187">
        <f t="shared" si="95"/>
        <v>0</v>
      </c>
      <c r="BF53" s="188">
        <f t="shared" si="96"/>
        <v>0</v>
      </c>
      <c r="BG53" s="188">
        <f>INDEX(pin!$D$48:$T$84,MATCH(ΥΠΟΛΟΓΙΣΜΟΙ!BE53,pin!$B$48:$B$84,0),MATCH(ΥΠΟΛΟΓΙΣΜΟΙ!AW53,pin!$D$47:$T$47,0))+0.4*(BE53-AF53)*(INDEX(pin!$D$48:$T$84,MATCH(ΥΠΟΛΟΓΙΣΜΟΙ!BE53,pin!$B$48:$B$84,0),MATCH(ΥΠΟΛΟΓΙΣΜΟΙ!AW53,pin!$D$47:$T$47,0))-INDEX(pin!$D$48:$T$84,MATCH(ΥΠΟΛΟΓΙΣΜΟΙ!BF53,pin!$B$48:$B$84,0),MATCH(ΥΠΟΛΟΓΙΣΜΟΙ!AW53,pin!$D$47:$T$47,0)))</f>
        <v>1</v>
      </c>
      <c r="BH53" s="188">
        <f>INDEX(pin!$D$48:$T$84,MATCH(ΥΠΟΛΟΓΙΣΜΟΙ!BE53,pin!$B$48:$B$84,0),MATCH(ΥΠΟΛΟΓΙΣΜΟΙ!AX53,pin!$D$47:$T$47,0))+0.4*(BE53-AF53)*(INDEX(pin!$D$48:$T$84,MATCH(ΥΠΟΛΟΓΙΣΜΟΙ!BE53,pin!$B$48:$B$84,0),MATCH(ΥΠΟΛΟΓΙΣΜΟΙ!AX53,pin!$D$47:$T$47,0))-INDEX(pin!$D$48:$T$84,MATCH(ΥΠΟΛΟΓΙΣΜΟΙ!BF53,pin!$B$48:$B$84,0),MATCH(ΥΠΟΛΟΓΙΣΜΟΙ!AX53,pin!$D$47:$T$47,0)))</f>
        <v>1</v>
      </c>
      <c r="BI53" s="187">
        <f>INDEX(pin!$X$48:$AN$84,MATCH(ΥΠΟΛΟΓΙΣΜΟΙ!BE53,pin!$V$48:$V$84,0),MATCH(ΥΠΟΛΟΓΙΣΜΟΙ!AW53,pin!$X$47:$AN$47,0))+0.4*(BE53-AF53)*(INDEX(pin!$X$48:$AN$84,MATCH(ΥΠΟΛΟΓΙΣΜΟΙ!BE53,pin!$V$48:$V$84,0),MATCH(ΥΠΟΛΟΓΙΣΜΟΙ!AW53,pin!$X$47:$AN$47,0))-INDEX(pin!$X$48:$AN$84,MATCH(ΥΠΟΛΟΓΙΣΜΟΙ!BF53,pin!$V$48:$V$84,0),MATCH(ΥΠΟΛΟΓΙΣΜΟΙ!AW53,pin!$X$47:$AN$47,0)))</f>
        <v>1</v>
      </c>
      <c r="BJ53" s="203">
        <f>INDEX(pin!$X$48:$AN$84,MATCH(ΥΠΟΛΟΓΙΣΜΟΙ!BE53,pin!$V$48:$V$84,0),MATCH(ΥΠΟΛΟΓΙΣΜΟΙ!AX53,pin!$X$47:$AN$47,0))+0.4*(BE53-AF53)*(INDEX(pin!$X$48:$AN$84,MATCH(ΥΠΟΛΟΓΙΣΜΟΙ!BE53,pin!$V$48:$V$84,0),MATCH(ΥΠΟΛΟΓΙΣΜΟΙ!AX53,pin!$X$47:$AN$47,0))-INDEX(pin!$X$48:$AN$84,MATCH(ΥΠΟΛΟΓΙΣΜΟΙ!BF53,pin!$V$48:$V$84,0),MATCH(ΥΠΟΛΟΓΙΣΜΟΙ!AX53,pin!$X$47:$AN$47,0)))</f>
        <v>1</v>
      </c>
      <c r="BK53" s="187">
        <f t="shared" si="97"/>
        <v>0</v>
      </c>
      <c r="BL53" s="188">
        <f t="shared" si="98"/>
        <v>0</v>
      </c>
      <c r="BM53" s="188">
        <f>INDEX(pin!$X$48:$AN$84,MATCH(ΥΠΟΛΟΓΙΣΜΟΙ!BK53,pin!$V$48:$V$84,0),MATCH(ΥΠΟΛΟΓΙΣΜΟΙ!AW53,pin!$X$47:$AN$47,0))+0.4*(BK53-AG53)*(INDEX(pin!$X$48:$AN$84,MATCH(ΥΠΟΛΟΓΙΣΜΟΙ!BK53,pin!$V$48:$V$84,0),MATCH(ΥΠΟΛΟΓΙΣΜΟΙ!AW53,pin!$X$47:$AN$47,0))-INDEX(pin!$X$48:$AN$84,MATCH(ΥΠΟΛΟΓΙΣΜΟΙ!BL53,pin!$V$48:$V$84,0),MATCH(ΥΠΟΛΟΓΙΣΜΟΙ!AW53,pin!$X$47:$AN$47,0)))</f>
        <v>1</v>
      </c>
      <c r="BN53" s="203">
        <f>INDEX(pin!$X$48:$AN$84,MATCH(ΥΠΟΛΟΓΙΣΜΟΙ!BK53,pin!$V$48:$V$84,0),MATCH(ΥΠΟΛΟΓΙΣΜΟΙ!AX53,pin!$X$47:$AN$47,0))+0.4*(BK53-AG53)*(INDEX(pin!$X$48:$AN$84,MATCH(ΥΠΟΛΟΓΙΣΜΟΙ!BK53,pin!$V$48:$V$84,0),MATCH(ΥΠΟΛΟΓΙΣΜΟΙ!AX53,pin!$X$47:$AN$47,0))-INDEX(pin!$X$48:$AN$84,MATCH(ΥΠΟΛΟΓΙΣΜΟΙ!BL53,pin!$V$48:$V$84,0),MATCH(ΥΠΟΛΟΓΙΣΜΟΙ!AX53,pin!$X$47:$AN$47,0)))</f>
        <v>1</v>
      </c>
      <c r="BO53" s="187">
        <f t="shared" si="99"/>
        <v>0</v>
      </c>
      <c r="BP53" s="188">
        <f t="shared" si="100"/>
        <v>0</v>
      </c>
      <c r="BQ53" s="188">
        <f>INDEX(pin!$D$114:$T$132,MATCH(ΥΠΟΛΟΓΙΣΜΟΙ!BO53,pin!$B$114:$B$132,0),MATCH(ΥΠΟΛΟΓΙΣΜΟΙ!AW53,pin!$D$113:$T$113,0))+0.2*(BO53-AH53)*(INDEX(pin!$D$114:$T$132,MATCH(ΥΠΟΛΟΓΙΣΜΟΙ!BO53,pin!$B$114:$B$132,0),MATCH(ΥΠΟΛΟΓΙΣΜΟΙ!AW53,pin!$D$113:$T$113,0))-INDEX(pin!$D$114:$T$132,MATCH(ΥΠΟΛΟΓΙΣΜΟΙ!BP53,pin!$B$114:$B$132,0),MATCH(ΥΠΟΛΟΓΙΣΜΟΙ!AW53,pin!$D$113:$T$113,0)))</f>
        <v>1</v>
      </c>
      <c r="BR53" s="188">
        <f>INDEX(pin!$D$114:$T$132,MATCH(ΥΠΟΛΟΓΙΣΜΟΙ!BO53,pin!$B$114:$B$132,0),MATCH(ΥΠΟΛΟΓΙΣΜΟΙ!AX53,pin!$D$113:$T$113,0))+0.2*(BO53-AH53)*(INDEX(pin!$D$114:$T$132,MATCH(ΥΠΟΛΟΓΙΣΜΟΙ!BO53,pin!$B$114:$B$132,0),MATCH(ΥΠΟΛΟΓΙΣΜΟΙ!AX53,pin!$D$113:$T$113,0))-INDEX(pin!$D$114:$T$132,MATCH(ΥΠΟΛΟΓΙΣΜΟΙ!BP53,pin!$B$114:$B$132,0),MATCH(ΥΠΟΛΟΓΙΣΜΟΙ!AX53,pin!$D$113:$T$113,0)))</f>
        <v>1</v>
      </c>
      <c r="BS53" s="187">
        <f>INDEX(pin!$X$114:$AN$132,MATCH(ΥΠΟΛΟΓΙΣΜΟΙ!BO53,pin!$V$114:$V$132,0),MATCH(ΥΠΟΛΟΓΙΣΜΟΙ!AW53,pin!$X$113:$AN$113,0))+0.2*(BO53-AH53)*(INDEX(pin!$X$114:$AN$132,MATCH(ΥΠΟΛΟΓΙΣΜΟΙ!BO53,pin!$V$114:$V$132,0),MATCH(ΥΠΟΛΟΓΙΣΜΟΙ!AW53,pin!$X$113:$AN$113,0))-INDEX(pin!$X$114:$AN$132,MATCH(ΥΠΟΛΟΓΙΣΜΟΙ!BP53,pin!$V$114:$V$132,0),MATCH(ΥΠΟΛΟΓΙΣΜΟΙ!AW53,pin!$X$113:$AN$113,0)))</f>
        <v>1</v>
      </c>
      <c r="BT53" s="203">
        <f>INDEX(pin!$X$114:$AN$132,MATCH(ΥΠΟΛΟΓΙΣΜΟΙ!BO53,pin!$V$114:$V$132,0),MATCH(ΥΠΟΛΟΓΙΣΜΟΙ!AX53,pin!$X$113:$AN$113,0))+0.2*(BO53-AH53)*(INDEX(pin!$X$114:$AN$132,MATCH(ΥΠΟΛΟΓΙΣΜΟΙ!BO53,pin!$V$114:$V$132,0),MATCH(ΥΠΟΛΟΓΙΣΜΟΙ!AX53,pin!$X$113:$AN$113,0))-INDEX(pin!$X$114:$AN$132,MATCH(ΥΠΟΛΟΓΙΣΜΟΙ!BP53,pin!$V$114:$V$132,0),MATCH(ΥΠΟΛΟΓΙΣΜΟΙ!AX53,pin!$X$113:$AN$113,0)))</f>
        <v>1</v>
      </c>
      <c r="BU53" s="187">
        <f t="shared" si="101"/>
        <v>0</v>
      </c>
      <c r="BV53" s="188">
        <f t="shared" si="102"/>
        <v>0</v>
      </c>
      <c r="BW53" s="188">
        <f>INDEX(pin!$D$90:$T$108,MATCH(ΥΠΟΛΟΓΙΣΜΟΙ!BU53,pin!$B$90:$B$108,0),MATCH(ΥΠΟΛΟΓΙΣΜΟΙ!AW53,pin!$D$89:$T$89,0))+0.2*(BU53-AI53)*(INDEX(pin!$D$90:$T$108,MATCH(ΥΠΟΛΟΓΙΣΜΟΙ!BU53,pin!$B$90:$B$108,0),MATCH(ΥΠΟΛΟΓΙΣΜΟΙ!AW53,pin!$D$89:$T$89,0))-INDEX(pin!$D$90:$T$108,MATCH(ΥΠΟΛΟΓΙΣΜΟΙ!BV53,pin!$B$90:$B$108,0),MATCH(ΥΠΟΛΟΓΙΣΜΟΙ!AW53,pin!$D$89:$T$89,0)))</f>
        <v>1</v>
      </c>
      <c r="BX53" s="203">
        <f>INDEX(pin!$D$90:$T$108,MATCH(ΥΠΟΛΟΓΙΣΜΟΙ!BU53,pin!$B$90:$B$108,0),MATCH(ΥΠΟΛΟΓΙΣΜΟΙ!AX53,pin!$D$89:$T$89,0))+0.2*(BU53-AI53)*(INDEX(pin!$D$90:$T$108,MATCH(ΥΠΟΛΟΓΙΣΜΟΙ!BU53,pin!$B$90:$B$108,0),MATCH(ΥΠΟΛΟΓΙΣΜΟΙ!AX53,pin!$D$89:$T$89,0))-INDEX(pin!$D$90:$T$108,MATCH(ΥΠΟΛΟΓΙΣΜΟΙ!BV53,pin!$B$90:$B$108,0),MATCH(ΥΠΟΛΟΓΙΣΜΟΙ!AX53,pin!$D$89:$T$89,0)))</f>
        <v>1</v>
      </c>
      <c r="BY53" s="188">
        <f>INDEX(pin!$X$90:$AN$108,MATCH(ΥΠΟΛΟΓΙΣΜΟΙ!BU53,pin!$V$90:$V$108,0),MATCH(ΥΠΟΛΟΓΙΣΜΟΙ!AW53,pin!$X$89:$AN$89,0))+0.2*(BU53-AI53)*(INDEX(pin!$X$90:$AN$108,MATCH(ΥΠΟΛΟΓΙΣΜΟΙ!BU53,pin!$V$90:$V$108,0),MATCH(ΥΠΟΛΟΓΙΣΜΟΙ!AW53,pin!$X$89:$AN$89,0))-INDEX(pin!$X$90:$AN$108,MATCH(ΥΠΟΛΟΓΙΣΜΟΙ!BV53,pin!$V$90:$V$108,0),MATCH(ΥΠΟΛΟΓΙΣΜΟΙ!AW53,pin!$X$89:$AN$89,0)))</f>
        <v>1</v>
      </c>
      <c r="BZ53" s="203">
        <f>INDEX(pin!$X$90:$AN$108,MATCH(ΥΠΟΛΟΓΙΣΜΟΙ!BU53,pin!$V$90:$V$108,0),MATCH(ΥΠΟΛΟΓΙΣΜΟΙ!AX53,pin!$X$89:$AN$89,0))+0.2*(BU53-AI53)*(INDEX(pin!$X$90:$AN$108,MATCH(ΥΠΟΛΟΓΙΣΜΟΙ!BU53,pin!$V$90:$V$108,0),MATCH(ΥΠΟΛΟΓΙΣΜΟΙ!AX53,pin!$X$89:$AN$89,0))-INDEX(pin!$X$90:$AN$108,MATCH(ΥΠΟΛΟΓΙΣΜΟΙ!BV53,pin!$V$90:$V$108,0),MATCH(ΥΠΟΛΟΓΙΣΜΟΙ!AX53,pin!$X$89:$AN$89,0)))</f>
        <v>1</v>
      </c>
      <c r="CA53" s="189"/>
    </row>
    <row r="54" spans="1:119" s="34" customFormat="1">
      <c r="A54" s="56">
        <v>9</v>
      </c>
      <c r="B54" s="118"/>
      <c r="C54" s="116"/>
      <c r="D54" s="116"/>
      <c r="E54" s="116"/>
      <c r="F54" s="47" t="str">
        <f t="shared" si="103"/>
        <v>-</v>
      </c>
      <c r="G54" s="81" t="str">
        <f t="shared" si="104"/>
        <v>-</v>
      </c>
      <c r="H54" s="235"/>
      <c r="I54" s="119"/>
      <c r="J54" s="269" t="s">
        <v>607</v>
      </c>
      <c r="K54" s="123"/>
      <c r="L54" s="387"/>
      <c r="M54" s="560" t="s">
        <v>670</v>
      </c>
      <c r="N54" s="561"/>
      <c r="O54" s="46">
        <f t="shared" si="105"/>
        <v>1</v>
      </c>
      <c r="P54" s="120">
        <f t="shared" si="106"/>
        <v>1</v>
      </c>
      <c r="Q54" s="46">
        <f t="shared" si="107"/>
        <v>1</v>
      </c>
      <c r="R54" s="120">
        <f t="shared" si="108"/>
        <v>1</v>
      </c>
      <c r="S54" s="46">
        <f t="shared" si="109"/>
        <v>1</v>
      </c>
      <c r="T54" s="120">
        <f t="shared" si="110"/>
        <v>1</v>
      </c>
      <c r="U54" s="121"/>
      <c r="V54" s="124" t="str">
        <f t="shared" si="111"/>
        <v>-</v>
      </c>
      <c r="W54" s="116"/>
      <c r="X54" s="124" t="str">
        <f>IF(W54=0,"-",L54-0.5*F54-E54)</f>
        <v>-</v>
      </c>
      <c r="Y54" s="152"/>
      <c r="Z54" s="122"/>
      <c r="AA54" s="116"/>
      <c r="AB54" s="116"/>
      <c r="AC54" s="121"/>
      <c r="AD54" s="117"/>
      <c r="AE54" s="204">
        <f t="shared" si="113"/>
        <v>0</v>
      </c>
      <c r="AF54" s="180">
        <f t="shared" si="114"/>
        <v>0</v>
      </c>
      <c r="AG54" s="206">
        <f t="shared" si="115"/>
        <v>0</v>
      </c>
      <c r="AH54" s="180">
        <f t="shared" si="116"/>
        <v>0</v>
      </c>
      <c r="AI54" s="180">
        <f t="shared" si="117"/>
        <v>0</v>
      </c>
      <c r="AJ54" s="181">
        <f t="shared" si="123"/>
        <v>1</v>
      </c>
      <c r="AK54" s="181">
        <f t="shared" si="118"/>
        <v>1</v>
      </c>
      <c r="AL54" s="181">
        <f t="shared" si="119"/>
        <v>1</v>
      </c>
      <c r="AM54" s="181">
        <f t="shared" si="124"/>
        <v>1</v>
      </c>
      <c r="AN54" s="187">
        <f t="shared" si="120"/>
        <v>0</v>
      </c>
      <c r="AO54" s="188"/>
      <c r="AP54" s="188"/>
      <c r="AQ54" s="188"/>
      <c r="AR54" s="188"/>
      <c r="AS54" s="188"/>
      <c r="AT54" s="188"/>
      <c r="AU54" s="188"/>
      <c r="AV54" s="188" t="s">
        <v>256</v>
      </c>
      <c r="AW54" s="188">
        <f t="shared" si="121"/>
        <v>0</v>
      </c>
      <c r="AX54" s="203">
        <f t="shared" si="122"/>
        <v>0</v>
      </c>
      <c r="AY54" s="187">
        <f t="shared" si="93"/>
        <v>0</v>
      </c>
      <c r="AZ54" s="188">
        <f t="shared" si="94"/>
        <v>0</v>
      </c>
      <c r="BA54" s="188">
        <f>INDEX(pin!$D$6:$T$42,MATCH(ΥΠΟΛΟΓΙΣΜΟΙ!AY54,pin!$B$6:$B$42,0),MATCH(ΥΠΟΛΟΓΙΣΜΟΙ!AW54,pin!$D$5:$T$5,0))+0.4*(AY54-AE54)*(INDEX(pin!$D$6:$T$42,MATCH(ΥΠΟΛΟΓΙΣΜΟΙ!AY54,pin!$B$6:$B$42,0),MATCH(ΥΠΟΛΟΓΙΣΜΟΙ!AW54,pin!$D$5:$T$5,0))-INDEX(pin!$D$6:$T$42,MATCH(ΥΠΟΛΟΓΙΣΜΟΙ!AZ54,pin!$B$6:$B$42,0),MATCH(ΥΠΟΛΟΓΙΣΜΟΙ!AW54,pin!$D$5:$T$5,0)))</f>
        <v>1</v>
      </c>
      <c r="BB54" s="203">
        <f>INDEX(pin!$D$6:$T$42,MATCH(ΥΠΟΛΟΓΙΣΜΟΙ!AY54,pin!$B$6:$B$42,0),MATCH(ΥΠΟΛΟΓΙΣΜΟΙ!AX54,pin!$D$5:$T$5,0))+0.4*(AY54-AE54)*(INDEX(pin!$D$6:$T$42,MATCH(ΥΠΟΛΟΓΙΣΜΟΙ!AY54,pin!$B$6:$B$42,0),MATCH(ΥΠΟΛΟΓΙΣΜΟΙ!AX54,pin!$D$5:$T$5,0))-INDEX(pin!$D$6:$T$42,MATCH(ΥΠΟΛΟΓΙΣΜΟΙ!AZ54,pin!$B$6:$B$42,0),MATCH(ΥΠΟΛΟΓΙΣΜΟΙ!AX54,pin!$D$5:$T$5,0)))</f>
        <v>1</v>
      </c>
      <c r="BC54" s="188">
        <f>INDEX(pin!$X$6:$AN$42,MATCH(ΥΠΟΛΟΓΙΣΜΟΙ!AY54,pin!$V$6:$V$42,0),MATCH(ΥΠΟΛΟΓΙΣΜΟΙ!AW54,pin!$X$5:$AN$5,0))+0.4*(AY54-AE54)*(INDEX(pin!$X$6:$AN$42,MATCH(ΥΠΟΛΟΓΙΣΜΟΙ!AY54,pin!$V$6:$V$42,0),MATCH(ΥΠΟΛΟΓΙΣΜΟΙ!AW54,pin!$X$5:$AN$5,0))-INDEX(pin!$X$6:$AN$42,MATCH(ΥΠΟΛΟΓΙΣΜΟΙ!AZ54,pin!$V$6:$V$42,0),MATCH(ΥΠΟΛΟΓΙΣΜΟΙ!AW54,pin!$X$5:$AN$5,0)))</f>
        <v>1</v>
      </c>
      <c r="BD54" s="188">
        <f>INDEX(pin!$X$6:$AN$42,MATCH(ΥΠΟΛΟΓΙΣΜΟΙ!AY54,pin!$V$6:$V$42,0),MATCH(ΥΠΟΛΟΓΙΣΜΟΙ!AX54,pin!$X$5:$AN$5,0))+0.4*(AY54-AE54)*(INDEX(pin!$X$6:$AN$42,MATCH(ΥΠΟΛΟΓΙΣΜΟΙ!AY54,pin!$V$6:$V$42,0),MATCH(ΥΠΟΛΟΓΙΣΜΟΙ!AX54,pin!$X$5:$AN$5,0))-INDEX(pin!$X$6:$AN$42,MATCH(ΥΠΟΛΟΓΙΣΜΟΙ!AZ54,pin!$V$6:$V$42,0),MATCH(ΥΠΟΛΟΓΙΣΜΟΙ!AX54,pin!$X$5:$AN$5,0)))</f>
        <v>1</v>
      </c>
      <c r="BE54" s="187">
        <f t="shared" si="95"/>
        <v>0</v>
      </c>
      <c r="BF54" s="188">
        <f t="shared" si="96"/>
        <v>0</v>
      </c>
      <c r="BG54" s="188">
        <f>INDEX(pin!$D$48:$T$84,MATCH(ΥΠΟΛΟΓΙΣΜΟΙ!BE54,pin!$B$48:$B$84,0),MATCH(ΥΠΟΛΟΓΙΣΜΟΙ!AW54,pin!$D$47:$T$47,0))+0.4*(BE54-AF54)*(INDEX(pin!$D$48:$T$84,MATCH(ΥΠΟΛΟΓΙΣΜΟΙ!BE54,pin!$B$48:$B$84,0),MATCH(ΥΠΟΛΟΓΙΣΜΟΙ!AW54,pin!$D$47:$T$47,0))-INDEX(pin!$D$48:$T$84,MATCH(ΥΠΟΛΟΓΙΣΜΟΙ!BF54,pin!$B$48:$B$84,0),MATCH(ΥΠΟΛΟΓΙΣΜΟΙ!AW54,pin!$D$47:$T$47,0)))</f>
        <v>1</v>
      </c>
      <c r="BH54" s="188">
        <f>INDEX(pin!$D$48:$T$84,MATCH(ΥΠΟΛΟΓΙΣΜΟΙ!BE54,pin!$B$48:$B$84,0),MATCH(ΥΠΟΛΟΓΙΣΜΟΙ!AX54,pin!$D$47:$T$47,0))+0.4*(BE54-AF54)*(INDEX(pin!$D$48:$T$84,MATCH(ΥΠΟΛΟΓΙΣΜΟΙ!BE54,pin!$B$48:$B$84,0),MATCH(ΥΠΟΛΟΓΙΣΜΟΙ!AX54,pin!$D$47:$T$47,0))-INDEX(pin!$D$48:$T$84,MATCH(ΥΠΟΛΟΓΙΣΜΟΙ!BF54,pin!$B$48:$B$84,0),MATCH(ΥΠΟΛΟΓΙΣΜΟΙ!AX54,pin!$D$47:$T$47,0)))</f>
        <v>1</v>
      </c>
      <c r="BI54" s="187">
        <f>INDEX(pin!$X$48:$AN$84,MATCH(ΥΠΟΛΟΓΙΣΜΟΙ!BE54,pin!$V$48:$V$84,0),MATCH(ΥΠΟΛΟΓΙΣΜΟΙ!AW54,pin!$X$47:$AN$47,0))+0.4*(BE54-AF54)*(INDEX(pin!$X$48:$AN$84,MATCH(ΥΠΟΛΟΓΙΣΜΟΙ!BE54,pin!$V$48:$V$84,0),MATCH(ΥΠΟΛΟΓΙΣΜΟΙ!AW54,pin!$X$47:$AN$47,0))-INDEX(pin!$X$48:$AN$84,MATCH(ΥΠΟΛΟΓΙΣΜΟΙ!BF54,pin!$V$48:$V$84,0),MATCH(ΥΠΟΛΟΓΙΣΜΟΙ!AW54,pin!$X$47:$AN$47,0)))</f>
        <v>1</v>
      </c>
      <c r="BJ54" s="203">
        <f>INDEX(pin!$X$48:$AN$84,MATCH(ΥΠΟΛΟΓΙΣΜΟΙ!BE54,pin!$V$48:$V$84,0),MATCH(ΥΠΟΛΟΓΙΣΜΟΙ!AX54,pin!$X$47:$AN$47,0))+0.4*(BE54-AF54)*(INDEX(pin!$X$48:$AN$84,MATCH(ΥΠΟΛΟΓΙΣΜΟΙ!BE54,pin!$V$48:$V$84,0),MATCH(ΥΠΟΛΟΓΙΣΜΟΙ!AX54,pin!$X$47:$AN$47,0))-INDEX(pin!$X$48:$AN$84,MATCH(ΥΠΟΛΟΓΙΣΜΟΙ!BF54,pin!$V$48:$V$84,0),MATCH(ΥΠΟΛΟΓΙΣΜΟΙ!AX54,pin!$X$47:$AN$47,0)))</f>
        <v>1</v>
      </c>
      <c r="BK54" s="187">
        <f t="shared" si="97"/>
        <v>0</v>
      </c>
      <c r="BL54" s="188">
        <f t="shared" si="98"/>
        <v>0</v>
      </c>
      <c r="BM54" s="188">
        <f>INDEX(pin!$X$48:$AN$84,MATCH(ΥΠΟΛΟΓΙΣΜΟΙ!BK54,pin!$V$48:$V$84,0),MATCH(ΥΠΟΛΟΓΙΣΜΟΙ!AW54,pin!$X$47:$AN$47,0))+0.4*(BK54-AG54)*(INDEX(pin!$X$48:$AN$84,MATCH(ΥΠΟΛΟΓΙΣΜΟΙ!BK54,pin!$V$48:$V$84,0),MATCH(ΥΠΟΛΟΓΙΣΜΟΙ!AW54,pin!$X$47:$AN$47,0))-INDEX(pin!$X$48:$AN$84,MATCH(ΥΠΟΛΟΓΙΣΜΟΙ!BL54,pin!$V$48:$V$84,0),MATCH(ΥΠΟΛΟΓΙΣΜΟΙ!AW54,pin!$X$47:$AN$47,0)))</f>
        <v>1</v>
      </c>
      <c r="BN54" s="203">
        <f>INDEX(pin!$X$48:$AN$84,MATCH(ΥΠΟΛΟΓΙΣΜΟΙ!BK54,pin!$V$48:$V$84,0),MATCH(ΥΠΟΛΟΓΙΣΜΟΙ!AX54,pin!$X$47:$AN$47,0))+0.4*(BK54-AG54)*(INDEX(pin!$X$48:$AN$84,MATCH(ΥΠΟΛΟΓΙΣΜΟΙ!BK54,pin!$V$48:$V$84,0),MATCH(ΥΠΟΛΟΓΙΣΜΟΙ!AX54,pin!$X$47:$AN$47,0))-INDEX(pin!$X$48:$AN$84,MATCH(ΥΠΟΛΟΓΙΣΜΟΙ!BL54,pin!$V$48:$V$84,0),MATCH(ΥΠΟΛΟΓΙΣΜΟΙ!AX54,pin!$X$47:$AN$47,0)))</f>
        <v>1</v>
      </c>
      <c r="BO54" s="187">
        <f t="shared" si="99"/>
        <v>0</v>
      </c>
      <c r="BP54" s="188">
        <f t="shared" si="100"/>
        <v>0</v>
      </c>
      <c r="BQ54" s="188">
        <f>INDEX(pin!$D$114:$T$132,MATCH(ΥΠΟΛΟΓΙΣΜΟΙ!BO54,pin!$B$114:$B$132,0),MATCH(ΥΠΟΛΟΓΙΣΜΟΙ!AW54,pin!$D$113:$T$113,0))+0.2*(BO54-AH54)*(INDEX(pin!$D$114:$T$132,MATCH(ΥΠΟΛΟΓΙΣΜΟΙ!BO54,pin!$B$114:$B$132,0),MATCH(ΥΠΟΛΟΓΙΣΜΟΙ!AW54,pin!$D$113:$T$113,0))-INDEX(pin!$D$114:$T$132,MATCH(ΥΠΟΛΟΓΙΣΜΟΙ!BP54,pin!$B$114:$B$132,0),MATCH(ΥΠΟΛΟΓΙΣΜΟΙ!AW54,pin!$D$113:$T$113,0)))</f>
        <v>1</v>
      </c>
      <c r="BR54" s="188">
        <f>INDEX(pin!$D$114:$T$132,MATCH(ΥΠΟΛΟΓΙΣΜΟΙ!BO54,pin!$B$114:$B$132,0),MATCH(ΥΠΟΛΟΓΙΣΜΟΙ!AX54,pin!$D$113:$T$113,0))+0.2*(BO54-AH54)*(INDEX(pin!$D$114:$T$132,MATCH(ΥΠΟΛΟΓΙΣΜΟΙ!BO54,pin!$B$114:$B$132,0),MATCH(ΥΠΟΛΟΓΙΣΜΟΙ!AX54,pin!$D$113:$T$113,0))-INDEX(pin!$D$114:$T$132,MATCH(ΥΠΟΛΟΓΙΣΜΟΙ!BP54,pin!$B$114:$B$132,0),MATCH(ΥΠΟΛΟΓΙΣΜΟΙ!AX54,pin!$D$113:$T$113,0)))</f>
        <v>1</v>
      </c>
      <c r="BS54" s="187">
        <f>INDEX(pin!$X$114:$AN$132,MATCH(ΥΠΟΛΟΓΙΣΜΟΙ!BO54,pin!$V$114:$V$132,0),MATCH(ΥΠΟΛΟΓΙΣΜΟΙ!AW54,pin!$X$113:$AN$113,0))+0.2*(BO54-AH54)*(INDEX(pin!$X$114:$AN$132,MATCH(ΥΠΟΛΟΓΙΣΜΟΙ!BO54,pin!$V$114:$V$132,0),MATCH(ΥΠΟΛΟΓΙΣΜΟΙ!AW54,pin!$X$113:$AN$113,0))-INDEX(pin!$X$114:$AN$132,MATCH(ΥΠΟΛΟΓΙΣΜΟΙ!BP54,pin!$V$114:$V$132,0),MATCH(ΥΠΟΛΟΓΙΣΜΟΙ!AW54,pin!$X$113:$AN$113,0)))</f>
        <v>1</v>
      </c>
      <c r="BT54" s="203">
        <f>INDEX(pin!$X$114:$AN$132,MATCH(ΥΠΟΛΟΓΙΣΜΟΙ!BO54,pin!$V$114:$V$132,0),MATCH(ΥΠΟΛΟΓΙΣΜΟΙ!AX54,pin!$X$113:$AN$113,0))+0.2*(BO54-AH54)*(INDEX(pin!$X$114:$AN$132,MATCH(ΥΠΟΛΟΓΙΣΜΟΙ!BO54,pin!$V$114:$V$132,0),MATCH(ΥΠΟΛΟΓΙΣΜΟΙ!AX54,pin!$X$113:$AN$113,0))-INDEX(pin!$X$114:$AN$132,MATCH(ΥΠΟΛΟΓΙΣΜΟΙ!BP54,pin!$V$114:$V$132,0),MATCH(ΥΠΟΛΟΓΙΣΜΟΙ!AX54,pin!$X$113:$AN$113,0)))</f>
        <v>1</v>
      </c>
      <c r="BU54" s="187">
        <f t="shared" si="101"/>
        <v>0</v>
      </c>
      <c r="BV54" s="188">
        <f t="shared" si="102"/>
        <v>0</v>
      </c>
      <c r="BW54" s="188">
        <f>INDEX(pin!$D$90:$T$108,MATCH(ΥΠΟΛΟΓΙΣΜΟΙ!BU54,pin!$B$90:$B$108,0),MATCH(ΥΠΟΛΟΓΙΣΜΟΙ!AW54,pin!$D$89:$T$89,0))+0.2*(BU54-AI54)*(INDEX(pin!$D$90:$T$108,MATCH(ΥΠΟΛΟΓΙΣΜΟΙ!BU54,pin!$B$90:$B$108,0),MATCH(ΥΠΟΛΟΓΙΣΜΟΙ!AW54,pin!$D$89:$T$89,0))-INDEX(pin!$D$90:$T$108,MATCH(ΥΠΟΛΟΓΙΣΜΟΙ!BV54,pin!$B$90:$B$108,0),MATCH(ΥΠΟΛΟΓΙΣΜΟΙ!AW54,pin!$D$89:$T$89,0)))</f>
        <v>1</v>
      </c>
      <c r="BX54" s="203">
        <f>INDEX(pin!$D$90:$T$108,MATCH(ΥΠΟΛΟΓΙΣΜΟΙ!BU54,pin!$B$90:$B$108,0),MATCH(ΥΠΟΛΟΓΙΣΜΟΙ!AX54,pin!$D$89:$T$89,0))+0.2*(BU54-AI54)*(INDEX(pin!$D$90:$T$108,MATCH(ΥΠΟΛΟΓΙΣΜΟΙ!BU54,pin!$B$90:$B$108,0),MATCH(ΥΠΟΛΟΓΙΣΜΟΙ!AX54,pin!$D$89:$T$89,0))-INDEX(pin!$D$90:$T$108,MATCH(ΥΠΟΛΟΓΙΣΜΟΙ!BV54,pin!$B$90:$B$108,0),MATCH(ΥΠΟΛΟΓΙΣΜΟΙ!AX54,pin!$D$89:$T$89,0)))</f>
        <v>1</v>
      </c>
      <c r="BY54" s="188">
        <f>INDEX(pin!$X$90:$AN$108,MATCH(ΥΠΟΛΟΓΙΣΜΟΙ!BU54,pin!$V$90:$V$108,0),MATCH(ΥΠΟΛΟΓΙΣΜΟΙ!AW54,pin!$X$89:$AN$89,0))+0.2*(BU54-AI54)*(INDEX(pin!$X$90:$AN$108,MATCH(ΥΠΟΛΟΓΙΣΜΟΙ!BU54,pin!$V$90:$V$108,0),MATCH(ΥΠΟΛΟΓΙΣΜΟΙ!AW54,pin!$X$89:$AN$89,0))-INDEX(pin!$X$90:$AN$108,MATCH(ΥΠΟΛΟΓΙΣΜΟΙ!BV54,pin!$V$90:$V$108,0),MATCH(ΥΠΟΛΟΓΙΣΜΟΙ!AW54,pin!$X$89:$AN$89,0)))</f>
        <v>1</v>
      </c>
      <c r="BZ54" s="203">
        <f>INDEX(pin!$X$90:$AN$108,MATCH(ΥΠΟΛΟΓΙΣΜΟΙ!BU54,pin!$V$90:$V$108,0),MATCH(ΥΠΟΛΟΓΙΣΜΟΙ!AX54,pin!$X$89:$AN$89,0))+0.2*(BU54-AI54)*(INDEX(pin!$X$90:$AN$108,MATCH(ΥΠΟΛΟΓΙΣΜΟΙ!BU54,pin!$V$90:$V$108,0),MATCH(ΥΠΟΛΟΓΙΣΜΟΙ!AX54,pin!$X$89:$AN$89,0))-INDEX(pin!$X$90:$AN$108,MATCH(ΥΠΟΛΟΓΙΣΜΟΙ!BV54,pin!$V$90:$V$108,0),MATCH(ΥΠΟΛΟΓΙΣΜΟΙ!AX54,pin!$X$89:$AN$89,0)))</f>
        <v>1</v>
      </c>
      <c r="CA54" s="189"/>
    </row>
    <row r="55" spans="1:119" s="34" customFormat="1">
      <c r="A55" s="462">
        <v>10</v>
      </c>
      <c r="B55" s="118"/>
      <c r="C55" s="116"/>
      <c r="D55" s="116"/>
      <c r="E55" s="116"/>
      <c r="F55" s="47" t="str">
        <f t="shared" ref="F55:F57" si="125">IF(C55=0,"-",D55-E55)</f>
        <v>-</v>
      </c>
      <c r="G55" s="81" t="str">
        <f t="shared" ref="G55:G57" si="126">IFERROR(IF(C55&gt;0,C55*F55,-1*C55*F55),"-")</f>
        <v>-</v>
      </c>
      <c r="H55" s="235"/>
      <c r="I55" s="119"/>
      <c r="J55" s="269" t="s">
        <v>607</v>
      </c>
      <c r="K55" s="123"/>
      <c r="L55" s="387"/>
      <c r="M55" s="560" t="s">
        <v>670</v>
      </c>
      <c r="N55" s="561"/>
      <c r="O55" s="46">
        <f t="shared" ref="O55:O57" si="127">IF(C55&gt;=0,BA55+0.0444*(H55-AW55)*(BB55-BA55),0)</f>
        <v>1</v>
      </c>
      <c r="P55" s="120">
        <f t="shared" ref="P55:P57" si="128">IF(C55&gt;=0,BC55+0.0444*(H55-AW55)*(BD55-BC55),0)</f>
        <v>1</v>
      </c>
      <c r="Q55" s="46">
        <f t="shared" ref="Q55:Q57" si="129">IF(C55&gt;=0,BG55+0.0444*(H55-AW55)*(BH55-BG55),0)</f>
        <v>1</v>
      </c>
      <c r="R55" s="120">
        <f t="shared" ref="R55:R57" si="130">IF(C55&gt;=0,IF(AG55=0,BI55+0.0444*(H55-AW55)*(BJ55-BI55),BM55+0.0444*(H55-AW55)*(BN55-BM55)),0)</f>
        <v>1</v>
      </c>
      <c r="S55" s="46">
        <f t="shared" ref="S55:S57" si="131">IF(C55&gt;=0,AJ55*AL55,0)</f>
        <v>1</v>
      </c>
      <c r="T55" s="120">
        <f t="shared" ref="T55:T57" si="132">IF(C55&gt;=0,AK55*AM55,0)</f>
        <v>1</v>
      </c>
      <c r="U55" s="461"/>
      <c r="V55" s="124" t="str">
        <f t="shared" ref="V55:V57" si="133">IF(U55=0,"-",K55-0.5*F55-E55)</f>
        <v>-</v>
      </c>
      <c r="W55" s="116"/>
      <c r="X55" s="124" t="str">
        <f t="shared" ref="X55:X57" si="134">IF(W55=0,"-",L55-0.5*F55-E55)</f>
        <v>-</v>
      </c>
      <c r="Y55" s="461"/>
      <c r="Z55" s="122"/>
      <c r="AA55" s="116"/>
      <c r="AB55" s="116"/>
      <c r="AC55" s="461"/>
      <c r="AD55" s="117"/>
      <c r="AE55" s="204">
        <f t="shared" ref="AE55:AE57" si="135">IFERROR(DEGREES(ATAN(V55/U55)),0)</f>
        <v>0</v>
      </c>
      <c r="AF55" s="180">
        <f t="shared" ref="AF55:AF57" si="136">IFERROR(DEGREES(ATAN(W55/X55)),0)</f>
        <v>0</v>
      </c>
      <c r="AG55" s="468">
        <f t="shared" ref="AG55:AG57" si="137">IF(Y55&gt;0,IF((Z55-0.5*F55-E55)&gt;0,DEGREES(ATAN(Y55/(Z55-0.5*F55-E55))),90),0)</f>
        <v>0</v>
      </c>
      <c r="AH55" s="180">
        <f t="shared" ref="AH55:AH57" si="138">IFERROR(DEGREES(ATAN(AA55/AB55)),0)</f>
        <v>0</v>
      </c>
      <c r="AI55" s="180">
        <f t="shared" ref="AI55:AI57" si="139">IFERROR(DEGREES(ATAN(AC55/AD55)),0)</f>
        <v>0</v>
      </c>
      <c r="AJ55" s="465">
        <f t="shared" ref="AJ55:AJ57" si="140">BQ55+0.0444*(H55-AW55)*(BR55-BQ55)</f>
        <v>1</v>
      </c>
      <c r="AK55" s="465">
        <f t="shared" ref="AK55:AK57" si="141">BS55+0.0444*(H55-AW55)*(BT55-BS55)</f>
        <v>1</v>
      </c>
      <c r="AL55" s="465">
        <f t="shared" ref="AL55:AL57" si="142">BW55+0.0444*(H55-AW55)*(BX55-BW55)</f>
        <v>1</v>
      </c>
      <c r="AM55" s="465">
        <f t="shared" ref="AM55:AM57" si="143">BY55+0.0444*(H55-AW55)*(BZ55-BY55)</f>
        <v>1</v>
      </c>
      <c r="AN55" s="467">
        <f t="shared" ref="AN55:AN57" si="144">IF(H55=-1,"-",MROUND(H55, 22.5))</f>
        <v>0</v>
      </c>
      <c r="AO55" s="464"/>
      <c r="AP55" s="464"/>
      <c r="AQ55" s="464"/>
      <c r="AR55" s="464"/>
      <c r="AS55" s="464"/>
      <c r="AT55" s="464"/>
      <c r="AU55" s="464"/>
      <c r="AV55" s="464" t="s">
        <v>256</v>
      </c>
      <c r="AW55" s="464">
        <f t="shared" ref="AW55:AW57" si="145">IF(AN55-H55&lt;=0,AN55,AN55-22.5)</f>
        <v>0</v>
      </c>
      <c r="AX55" s="466">
        <f t="shared" ref="AX55:AX57" si="146">IF(AN55-H55=0,AN55,AW55+22.5)</f>
        <v>0</v>
      </c>
      <c r="AY55" s="467">
        <f t="shared" ref="AY55:AY57" si="147">IF(MROUND(AE55,2.5)-AE55&lt;=0,MROUND(AE55,2.5),MROUND(AE55,2.5)-2.5)</f>
        <v>0</v>
      </c>
      <c r="AZ55" s="464">
        <f t="shared" ref="AZ55:AZ57" si="148">IF(MROUND(AE55,2.5)-AE55=0,MROUND(AE55,2.5),AY55+2.5)</f>
        <v>0</v>
      </c>
      <c r="BA55" s="464">
        <f>INDEX(pin!$D$6:$T$42,MATCH(ΥΠΟΛΟΓΙΣΜΟΙ!AY55,pin!$B$6:$B$42,0),MATCH(ΥΠΟΛΟΓΙΣΜΟΙ!AW55,pin!$D$5:$T$5,0))+0.4*(AY55-AE55)*(INDEX(pin!$D$6:$T$42,MATCH(ΥΠΟΛΟΓΙΣΜΟΙ!AY55,pin!$B$6:$B$42,0),MATCH(ΥΠΟΛΟΓΙΣΜΟΙ!AW55,pin!$D$5:$T$5,0))-INDEX(pin!$D$6:$T$42,MATCH(ΥΠΟΛΟΓΙΣΜΟΙ!AZ55,pin!$B$6:$B$42,0),MATCH(ΥΠΟΛΟΓΙΣΜΟΙ!AW55,pin!$D$5:$T$5,0)))</f>
        <v>1</v>
      </c>
      <c r="BB55" s="466">
        <f>INDEX(pin!$D$6:$T$42,MATCH(ΥΠΟΛΟΓΙΣΜΟΙ!AY55,pin!$B$6:$B$42,0),MATCH(ΥΠΟΛΟΓΙΣΜΟΙ!AX55,pin!$D$5:$T$5,0))+0.4*(AY55-AE55)*(INDEX(pin!$D$6:$T$42,MATCH(ΥΠΟΛΟΓΙΣΜΟΙ!AY55,pin!$B$6:$B$42,0),MATCH(ΥΠΟΛΟΓΙΣΜΟΙ!AX55,pin!$D$5:$T$5,0))-INDEX(pin!$D$6:$T$42,MATCH(ΥΠΟΛΟΓΙΣΜΟΙ!AZ55,pin!$B$6:$B$42,0),MATCH(ΥΠΟΛΟΓΙΣΜΟΙ!AX55,pin!$D$5:$T$5,0)))</f>
        <v>1</v>
      </c>
      <c r="BC55" s="464">
        <f>INDEX(pin!$X$6:$AN$42,MATCH(ΥΠΟΛΟΓΙΣΜΟΙ!AY55,pin!$V$6:$V$42,0),MATCH(ΥΠΟΛΟΓΙΣΜΟΙ!AW55,pin!$X$5:$AN$5,0))+0.4*(AY55-AE55)*(INDEX(pin!$X$6:$AN$42,MATCH(ΥΠΟΛΟΓΙΣΜΟΙ!AY55,pin!$V$6:$V$42,0),MATCH(ΥΠΟΛΟΓΙΣΜΟΙ!AW55,pin!$X$5:$AN$5,0))-INDEX(pin!$X$6:$AN$42,MATCH(ΥΠΟΛΟΓΙΣΜΟΙ!AZ55,pin!$V$6:$V$42,0),MATCH(ΥΠΟΛΟΓΙΣΜΟΙ!AW55,pin!$X$5:$AN$5,0)))</f>
        <v>1</v>
      </c>
      <c r="BD55" s="464">
        <f>INDEX(pin!$X$6:$AN$42,MATCH(ΥΠΟΛΟΓΙΣΜΟΙ!AY55,pin!$V$6:$V$42,0),MATCH(ΥΠΟΛΟΓΙΣΜΟΙ!AX55,pin!$X$5:$AN$5,0))+0.4*(AY55-AE55)*(INDEX(pin!$X$6:$AN$42,MATCH(ΥΠΟΛΟΓΙΣΜΟΙ!AY55,pin!$V$6:$V$42,0),MATCH(ΥΠΟΛΟΓΙΣΜΟΙ!AX55,pin!$X$5:$AN$5,0))-INDEX(pin!$X$6:$AN$42,MATCH(ΥΠΟΛΟΓΙΣΜΟΙ!AZ55,pin!$V$6:$V$42,0),MATCH(ΥΠΟΛΟΓΙΣΜΟΙ!AX55,pin!$X$5:$AN$5,0)))</f>
        <v>1</v>
      </c>
      <c r="BE55" s="467">
        <f t="shared" ref="BE55:BE57" si="149">IF(MROUND(AF55,2.5)-AF55&lt;=0,MROUND(AF55,2.5),MROUND(AF55,2.5)-2.5)</f>
        <v>0</v>
      </c>
      <c r="BF55" s="464">
        <f t="shared" ref="BF55:BF57" si="150">IF(MROUND(AF55,2.5)-AF55=0,MROUND(AF55,2.5),BE55+2.5)</f>
        <v>0</v>
      </c>
      <c r="BG55" s="464">
        <f>INDEX(pin!$D$48:$T$84,MATCH(ΥΠΟΛΟΓΙΣΜΟΙ!BE55,pin!$B$48:$B$84,0),MATCH(ΥΠΟΛΟΓΙΣΜΟΙ!AW55,pin!$D$47:$T$47,0))+0.4*(BE55-AF55)*(INDEX(pin!$D$48:$T$84,MATCH(ΥΠΟΛΟΓΙΣΜΟΙ!BE55,pin!$B$48:$B$84,0),MATCH(ΥΠΟΛΟΓΙΣΜΟΙ!AW55,pin!$D$47:$T$47,0))-INDEX(pin!$D$48:$T$84,MATCH(ΥΠΟΛΟΓΙΣΜΟΙ!BF55,pin!$B$48:$B$84,0),MATCH(ΥΠΟΛΟΓΙΣΜΟΙ!AW55,pin!$D$47:$T$47,0)))</f>
        <v>1</v>
      </c>
      <c r="BH55" s="464">
        <f>INDEX(pin!$D$48:$T$84,MATCH(ΥΠΟΛΟΓΙΣΜΟΙ!BE55,pin!$B$48:$B$84,0),MATCH(ΥΠΟΛΟΓΙΣΜΟΙ!AX55,pin!$D$47:$T$47,0))+0.4*(BE55-AF55)*(INDEX(pin!$D$48:$T$84,MATCH(ΥΠΟΛΟΓΙΣΜΟΙ!BE55,pin!$B$48:$B$84,0),MATCH(ΥΠΟΛΟΓΙΣΜΟΙ!AX55,pin!$D$47:$T$47,0))-INDEX(pin!$D$48:$T$84,MATCH(ΥΠΟΛΟΓΙΣΜΟΙ!BF55,pin!$B$48:$B$84,0),MATCH(ΥΠΟΛΟΓΙΣΜΟΙ!AX55,pin!$D$47:$T$47,0)))</f>
        <v>1</v>
      </c>
      <c r="BI55" s="467">
        <f>INDEX(pin!$X$48:$AN$84,MATCH(ΥΠΟΛΟΓΙΣΜΟΙ!BE55,pin!$V$48:$V$84,0),MATCH(ΥΠΟΛΟΓΙΣΜΟΙ!AW55,pin!$X$47:$AN$47,0))+0.4*(BE55-AF55)*(INDEX(pin!$X$48:$AN$84,MATCH(ΥΠΟΛΟΓΙΣΜΟΙ!BE55,pin!$V$48:$V$84,0),MATCH(ΥΠΟΛΟΓΙΣΜΟΙ!AW55,pin!$X$47:$AN$47,0))-INDEX(pin!$X$48:$AN$84,MATCH(ΥΠΟΛΟΓΙΣΜΟΙ!BF55,pin!$V$48:$V$84,0),MATCH(ΥΠΟΛΟΓΙΣΜΟΙ!AW55,pin!$X$47:$AN$47,0)))</f>
        <v>1</v>
      </c>
      <c r="BJ55" s="466">
        <f>INDEX(pin!$X$48:$AN$84,MATCH(ΥΠΟΛΟΓΙΣΜΟΙ!BE55,pin!$V$48:$V$84,0),MATCH(ΥΠΟΛΟΓΙΣΜΟΙ!AX55,pin!$X$47:$AN$47,0))+0.4*(BE55-AF55)*(INDEX(pin!$X$48:$AN$84,MATCH(ΥΠΟΛΟΓΙΣΜΟΙ!BE55,pin!$V$48:$V$84,0),MATCH(ΥΠΟΛΟΓΙΣΜΟΙ!AX55,pin!$X$47:$AN$47,0))-INDEX(pin!$X$48:$AN$84,MATCH(ΥΠΟΛΟΓΙΣΜΟΙ!BF55,pin!$V$48:$V$84,0),MATCH(ΥΠΟΛΟΓΙΣΜΟΙ!AX55,pin!$X$47:$AN$47,0)))</f>
        <v>1</v>
      </c>
      <c r="BK55" s="467">
        <f t="shared" ref="BK55:BK57" si="151">IF(MROUND(AG55,2.5)-AG55&lt;=0,MROUND(AG55,2.5),MROUND(AG55,2.5)-2.5)</f>
        <v>0</v>
      </c>
      <c r="BL55" s="464">
        <f t="shared" ref="BL55:BL57" si="152">IF(MROUND(AG55,2.5)-AG55=0,MROUND(AG55,2.5),BK55+2.5)</f>
        <v>0</v>
      </c>
      <c r="BM55" s="464">
        <f>INDEX(pin!$X$48:$AN$84,MATCH(ΥΠΟΛΟΓΙΣΜΟΙ!BK55,pin!$V$48:$V$84,0),MATCH(ΥΠΟΛΟΓΙΣΜΟΙ!AW55,pin!$X$47:$AN$47,0))+0.4*(BK55-AG55)*(INDEX(pin!$X$48:$AN$84,MATCH(ΥΠΟΛΟΓΙΣΜΟΙ!BK55,pin!$V$48:$V$84,0),MATCH(ΥΠΟΛΟΓΙΣΜΟΙ!AW55,pin!$X$47:$AN$47,0))-INDEX(pin!$X$48:$AN$84,MATCH(ΥΠΟΛΟΓΙΣΜΟΙ!BL55,pin!$V$48:$V$84,0),MATCH(ΥΠΟΛΟΓΙΣΜΟΙ!AW55,pin!$X$47:$AN$47,0)))</f>
        <v>1</v>
      </c>
      <c r="BN55" s="466">
        <f>INDEX(pin!$X$48:$AN$84,MATCH(ΥΠΟΛΟΓΙΣΜΟΙ!BK55,pin!$V$48:$V$84,0),MATCH(ΥΠΟΛΟΓΙΣΜΟΙ!AX55,pin!$X$47:$AN$47,0))+0.4*(BK55-AG55)*(INDEX(pin!$X$48:$AN$84,MATCH(ΥΠΟΛΟΓΙΣΜΟΙ!BK55,pin!$V$48:$V$84,0),MATCH(ΥΠΟΛΟΓΙΣΜΟΙ!AX55,pin!$X$47:$AN$47,0))-INDEX(pin!$X$48:$AN$84,MATCH(ΥΠΟΛΟΓΙΣΜΟΙ!BL55,pin!$V$48:$V$84,0),MATCH(ΥΠΟΛΟΓΙΣΜΟΙ!AX55,pin!$X$47:$AN$47,0)))</f>
        <v>1</v>
      </c>
      <c r="BO55" s="467">
        <f t="shared" ref="BO55:BO57" si="153">IF(MROUND(AH55,5)-AH55&lt;=0,MROUND(AH55,5),MROUND(AH55,5)-5)</f>
        <v>0</v>
      </c>
      <c r="BP55" s="464">
        <f t="shared" ref="BP55:BP57" si="154">IF(MROUND(AH55,5)-AH55=0,MROUND(AH55,5),BO55+5)</f>
        <v>0</v>
      </c>
      <c r="BQ55" s="464">
        <f>INDEX(pin!$D$114:$T$132,MATCH(ΥΠΟΛΟΓΙΣΜΟΙ!BO55,pin!$B$114:$B$132,0),MATCH(ΥΠΟΛΟΓΙΣΜΟΙ!AW55,pin!$D$113:$T$113,0))+0.2*(BO55-AH55)*(INDEX(pin!$D$114:$T$132,MATCH(ΥΠΟΛΟΓΙΣΜΟΙ!BO55,pin!$B$114:$B$132,0),MATCH(ΥΠΟΛΟΓΙΣΜΟΙ!AW55,pin!$D$113:$T$113,0))-INDEX(pin!$D$114:$T$132,MATCH(ΥΠΟΛΟΓΙΣΜΟΙ!BP55,pin!$B$114:$B$132,0),MATCH(ΥΠΟΛΟΓΙΣΜΟΙ!AW55,pin!$D$113:$T$113,0)))</f>
        <v>1</v>
      </c>
      <c r="BR55" s="464">
        <f>INDEX(pin!$D$114:$T$132,MATCH(ΥΠΟΛΟΓΙΣΜΟΙ!BO55,pin!$B$114:$B$132,0),MATCH(ΥΠΟΛΟΓΙΣΜΟΙ!AX55,pin!$D$113:$T$113,0))+0.2*(BO55-AH55)*(INDEX(pin!$D$114:$T$132,MATCH(ΥΠΟΛΟΓΙΣΜΟΙ!BO55,pin!$B$114:$B$132,0),MATCH(ΥΠΟΛΟΓΙΣΜΟΙ!AX55,pin!$D$113:$T$113,0))-INDEX(pin!$D$114:$T$132,MATCH(ΥΠΟΛΟΓΙΣΜΟΙ!BP55,pin!$B$114:$B$132,0),MATCH(ΥΠΟΛΟΓΙΣΜΟΙ!AX55,pin!$D$113:$T$113,0)))</f>
        <v>1</v>
      </c>
      <c r="BS55" s="467">
        <f>INDEX(pin!$X$114:$AN$132,MATCH(ΥΠΟΛΟΓΙΣΜΟΙ!BO55,pin!$V$114:$V$132,0),MATCH(ΥΠΟΛΟΓΙΣΜΟΙ!AW55,pin!$X$113:$AN$113,0))+0.2*(BO55-AH55)*(INDEX(pin!$X$114:$AN$132,MATCH(ΥΠΟΛΟΓΙΣΜΟΙ!BO55,pin!$V$114:$V$132,0),MATCH(ΥΠΟΛΟΓΙΣΜΟΙ!AW55,pin!$X$113:$AN$113,0))-INDEX(pin!$X$114:$AN$132,MATCH(ΥΠΟΛΟΓΙΣΜΟΙ!BP55,pin!$V$114:$V$132,0),MATCH(ΥΠΟΛΟΓΙΣΜΟΙ!AW55,pin!$X$113:$AN$113,0)))</f>
        <v>1</v>
      </c>
      <c r="BT55" s="466">
        <f>INDEX(pin!$X$114:$AN$132,MATCH(ΥΠΟΛΟΓΙΣΜΟΙ!BO55,pin!$V$114:$V$132,0),MATCH(ΥΠΟΛΟΓΙΣΜΟΙ!AX55,pin!$X$113:$AN$113,0))+0.2*(BO55-AH55)*(INDEX(pin!$X$114:$AN$132,MATCH(ΥΠΟΛΟΓΙΣΜΟΙ!BO55,pin!$V$114:$V$132,0),MATCH(ΥΠΟΛΟΓΙΣΜΟΙ!AX55,pin!$X$113:$AN$113,0))-INDEX(pin!$X$114:$AN$132,MATCH(ΥΠΟΛΟΓΙΣΜΟΙ!BP55,pin!$V$114:$V$132,0),MATCH(ΥΠΟΛΟΓΙΣΜΟΙ!AX55,pin!$X$113:$AN$113,0)))</f>
        <v>1</v>
      </c>
      <c r="BU55" s="467">
        <f t="shared" ref="BU55:BU57" si="155">IF(MROUND(AI55,5)-AI55&lt;=0,MROUND(AI55,5),MROUND(AI55,5)-5)</f>
        <v>0</v>
      </c>
      <c r="BV55" s="464">
        <f t="shared" ref="BV55:BV57" si="156">IF(MROUND(AI55,5)-AI55=0,MROUND(AI55,5),BU55+5)</f>
        <v>0</v>
      </c>
      <c r="BW55" s="464">
        <f>INDEX(pin!$D$90:$T$108,MATCH(ΥΠΟΛΟΓΙΣΜΟΙ!BU55,pin!$B$90:$B$108,0),MATCH(ΥΠΟΛΟΓΙΣΜΟΙ!AW55,pin!$D$89:$T$89,0))+0.2*(BU55-AI55)*(INDEX(pin!$D$90:$T$108,MATCH(ΥΠΟΛΟΓΙΣΜΟΙ!BU55,pin!$B$90:$B$108,0),MATCH(ΥΠΟΛΟΓΙΣΜΟΙ!AW55,pin!$D$89:$T$89,0))-INDEX(pin!$D$90:$T$108,MATCH(ΥΠΟΛΟΓΙΣΜΟΙ!BV55,pin!$B$90:$B$108,0),MATCH(ΥΠΟΛΟΓΙΣΜΟΙ!AW55,pin!$D$89:$T$89,0)))</f>
        <v>1</v>
      </c>
      <c r="BX55" s="466">
        <f>INDEX(pin!$D$90:$T$108,MATCH(ΥΠΟΛΟΓΙΣΜΟΙ!BU55,pin!$B$90:$B$108,0),MATCH(ΥΠΟΛΟΓΙΣΜΟΙ!AX55,pin!$D$89:$T$89,0))+0.2*(BU55-AI55)*(INDEX(pin!$D$90:$T$108,MATCH(ΥΠΟΛΟΓΙΣΜΟΙ!BU55,pin!$B$90:$B$108,0),MATCH(ΥΠΟΛΟΓΙΣΜΟΙ!AX55,pin!$D$89:$T$89,0))-INDEX(pin!$D$90:$T$108,MATCH(ΥΠΟΛΟΓΙΣΜΟΙ!BV55,pin!$B$90:$B$108,0),MATCH(ΥΠΟΛΟΓΙΣΜΟΙ!AX55,pin!$D$89:$T$89,0)))</f>
        <v>1</v>
      </c>
      <c r="BY55" s="464">
        <f>INDEX(pin!$X$90:$AN$108,MATCH(ΥΠΟΛΟΓΙΣΜΟΙ!BU55,pin!$V$90:$V$108,0),MATCH(ΥΠΟΛΟΓΙΣΜΟΙ!AW55,pin!$X$89:$AN$89,0))+0.2*(BU55-AI55)*(INDEX(pin!$X$90:$AN$108,MATCH(ΥΠΟΛΟΓΙΣΜΟΙ!BU55,pin!$V$90:$V$108,0),MATCH(ΥΠΟΛΟΓΙΣΜΟΙ!AW55,pin!$X$89:$AN$89,0))-INDEX(pin!$X$90:$AN$108,MATCH(ΥΠΟΛΟΓΙΣΜΟΙ!BV55,pin!$V$90:$V$108,0),MATCH(ΥΠΟΛΟΓΙΣΜΟΙ!AW55,pin!$X$89:$AN$89,0)))</f>
        <v>1</v>
      </c>
      <c r="BZ55" s="466">
        <f>INDEX(pin!$X$90:$AN$108,MATCH(ΥΠΟΛΟΓΙΣΜΟΙ!BU55,pin!$V$90:$V$108,0),MATCH(ΥΠΟΛΟΓΙΣΜΟΙ!AX55,pin!$X$89:$AN$89,0))+0.2*(BU55-AI55)*(INDEX(pin!$X$90:$AN$108,MATCH(ΥΠΟΛΟΓΙΣΜΟΙ!BU55,pin!$V$90:$V$108,0),MATCH(ΥΠΟΛΟΓΙΣΜΟΙ!AX55,pin!$X$89:$AN$89,0))-INDEX(pin!$X$90:$AN$108,MATCH(ΥΠΟΛΟΓΙΣΜΟΙ!BV55,pin!$V$90:$V$108,0),MATCH(ΥΠΟΛΟΓΙΣΜΟΙ!AX55,pin!$X$89:$AN$89,0)))</f>
        <v>1</v>
      </c>
      <c r="CA55" s="189"/>
    </row>
    <row r="56" spans="1:119" s="34" customFormat="1">
      <c r="A56" s="462">
        <v>11</v>
      </c>
      <c r="B56" s="118"/>
      <c r="C56" s="116"/>
      <c r="D56" s="116"/>
      <c r="E56" s="116"/>
      <c r="F56" s="47" t="str">
        <f t="shared" si="125"/>
        <v>-</v>
      </c>
      <c r="G56" s="81" t="str">
        <f t="shared" si="126"/>
        <v>-</v>
      </c>
      <c r="H56" s="235"/>
      <c r="I56" s="119"/>
      <c r="J56" s="269" t="s">
        <v>607</v>
      </c>
      <c r="K56" s="123"/>
      <c r="L56" s="387"/>
      <c r="M56" s="560" t="s">
        <v>670</v>
      </c>
      <c r="N56" s="561"/>
      <c r="O56" s="46">
        <f t="shared" si="127"/>
        <v>1</v>
      </c>
      <c r="P56" s="120">
        <f t="shared" si="128"/>
        <v>1</v>
      </c>
      <c r="Q56" s="46">
        <f t="shared" si="129"/>
        <v>1</v>
      </c>
      <c r="R56" s="120">
        <f t="shared" si="130"/>
        <v>1</v>
      </c>
      <c r="S56" s="46">
        <f t="shared" si="131"/>
        <v>1</v>
      </c>
      <c r="T56" s="120">
        <f t="shared" si="132"/>
        <v>1</v>
      </c>
      <c r="U56" s="461"/>
      <c r="V56" s="124" t="str">
        <f t="shared" si="133"/>
        <v>-</v>
      </c>
      <c r="W56" s="116"/>
      <c r="X56" s="124" t="str">
        <f t="shared" si="134"/>
        <v>-</v>
      </c>
      <c r="Y56" s="461"/>
      <c r="Z56" s="122"/>
      <c r="AA56" s="116"/>
      <c r="AB56" s="116"/>
      <c r="AC56" s="461"/>
      <c r="AD56" s="117"/>
      <c r="AE56" s="204">
        <f t="shared" si="135"/>
        <v>0</v>
      </c>
      <c r="AF56" s="180">
        <f t="shared" si="136"/>
        <v>0</v>
      </c>
      <c r="AG56" s="468">
        <f t="shared" si="137"/>
        <v>0</v>
      </c>
      <c r="AH56" s="180">
        <f t="shared" si="138"/>
        <v>0</v>
      </c>
      <c r="AI56" s="180">
        <f t="shared" si="139"/>
        <v>0</v>
      </c>
      <c r="AJ56" s="465">
        <f t="shared" si="140"/>
        <v>1</v>
      </c>
      <c r="AK56" s="465">
        <f t="shared" si="141"/>
        <v>1</v>
      </c>
      <c r="AL56" s="465">
        <f t="shared" si="142"/>
        <v>1</v>
      </c>
      <c r="AM56" s="465">
        <f t="shared" si="143"/>
        <v>1</v>
      </c>
      <c r="AN56" s="467">
        <f t="shared" si="144"/>
        <v>0</v>
      </c>
      <c r="AO56" s="464"/>
      <c r="AP56" s="464"/>
      <c r="AQ56" s="464"/>
      <c r="AR56" s="464"/>
      <c r="AS56" s="464"/>
      <c r="AT56" s="464"/>
      <c r="AU56" s="464"/>
      <c r="AV56" s="464" t="s">
        <v>256</v>
      </c>
      <c r="AW56" s="464">
        <f t="shared" si="145"/>
        <v>0</v>
      </c>
      <c r="AX56" s="466">
        <f t="shared" si="146"/>
        <v>0</v>
      </c>
      <c r="AY56" s="467">
        <f t="shared" si="147"/>
        <v>0</v>
      </c>
      <c r="AZ56" s="464">
        <f t="shared" si="148"/>
        <v>0</v>
      </c>
      <c r="BA56" s="464">
        <f>INDEX(pin!$D$6:$T$42,MATCH(ΥΠΟΛΟΓΙΣΜΟΙ!AY56,pin!$B$6:$B$42,0),MATCH(ΥΠΟΛΟΓΙΣΜΟΙ!AW56,pin!$D$5:$T$5,0))+0.4*(AY56-AE56)*(INDEX(pin!$D$6:$T$42,MATCH(ΥΠΟΛΟΓΙΣΜΟΙ!AY56,pin!$B$6:$B$42,0),MATCH(ΥΠΟΛΟΓΙΣΜΟΙ!AW56,pin!$D$5:$T$5,0))-INDEX(pin!$D$6:$T$42,MATCH(ΥΠΟΛΟΓΙΣΜΟΙ!AZ56,pin!$B$6:$B$42,0),MATCH(ΥΠΟΛΟΓΙΣΜΟΙ!AW56,pin!$D$5:$T$5,0)))</f>
        <v>1</v>
      </c>
      <c r="BB56" s="466">
        <f>INDEX(pin!$D$6:$T$42,MATCH(ΥΠΟΛΟΓΙΣΜΟΙ!AY56,pin!$B$6:$B$42,0),MATCH(ΥΠΟΛΟΓΙΣΜΟΙ!AX56,pin!$D$5:$T$5,0))+0.4*(AY56-AE56)*(INDEX(pin!$D$6:$T$42,MATCH(ΥΠΟΛΟΓΙΣΜΟΙ!AY56,pin!$B$6:$B$42,0),MATCH(ΥΠΟΛΟΓΙΣΜΟΙ!AX56,pin!$D$5:$T$5,0))-INDEX(pin!$D$6:$T$42,MATCH(ΥΠΟΛΟΓΙΣΜΟΙ!AZ56,pin!$B$6:$B$42,0),MATCH(ΥΠΟΛΟΓΙΣΜΟΙ!AX56,pin!$D$5:$T$5,0)))</f>
        <v>1</v>
      </c>
      <c r="BC56" s="464">
        <f>INDEX(pin!$X$6:$AN$42,MATCH(ΥΠΟΛΟΓΙΣΜΟΙ!AY56,pin!$V$6:$V$42,0),MATCH(ΥΠΟΛΟΓΙΣΜΟΙ!AW56,pin!$X$5:$AN$5,0))+0.4*(AY56-AE56)*(INDEX(pin!$X$6:$AN$42,MATCH(ΥΠΟΛΟΓΙΣΜΟΙ!AY56,pin!$V$6:$V$42,0),MATCH(ΥΠΟΛΟΓΙΣΜΟΙ!AW56,pin!$X$5:$AN$5,0))-INDEX(pin!$X$6:$AN$42,MATCH(ΥΠΟΛΟΓΙΣΜΟΙ!AZ56,pin!$V$6:$V$42,0),MATCH(ΥΠΟΛΟΓΙΣΜΟΙ!AW56,pin!$X$5:$AN$5,0)))</f>
        <v>1</v>
      </c>
      <c r="BD56" s="464">
        <f>INDEX(pin!$X$6:$AN$42,MATCH(ΥΠΟΛΟΓΙΣΜΟΙ!AY56,pin!$V$6:$V$42,0),MATCH(ΥΠΟΛΟΓΙΣΜΟΙ!AX56,pin!$X$5:$AN$5,0))+0.4*(AY56-AE56)*(INDEX(pin!$X$6:$AN$42,MATCH(ΥΠΟΛΟΓΙΣΜΟΙ!AY56,pin!$V$6:$V$42,0),MATCH(ΥΠΟΛΟΓΙΣΜΟΙ!AX56,pin!$X$5:$AN$5,0))-INDEX(pin!$X$6:$AN$42,MATCH(ΥΠΟΛΟΓΙΣΜΟΙ!AZ56,pin!$V$6:$V$42,0),MATCH(ΥΠΟΛΟΓΙΣΜΟΙ!AX56,pin!$X$5:$AN$5,0)))</f>
        <v>1</v>
      </c>
      <c r="BE56" s="467">
        <f t="shared" si="149"/>
        <v>0</v>
      </c>
      <c r="BF56" s="464">
        <f t="shared" si="150"/>
        <v>0</v>
      </c>
      <c r="BG56" s="464">
        <f>INDEX(pin!$D$48:$T$84,MATCH(ΥΠΟΛΟΓΙΣΜΟΙ!BE56,pin!$B$48:$B$84,0),MATCH(ΥΠΟΛΟΓΙΣΜΟΙ!AW56,pin!$D$47:$T$47,0))+0.4*(BE56-AF56)*(INDEX(pin!$D$48:$T$84,MATCH(ΥΠΟΛΟΓΙΣΜΟΙ!BE56,pin!$B$48:$B$84,0),MATCH(ΥΠΟΛΟΓΙΣΜΟΙ!AW56,pin!$D$47:$T$47,0))-INDEX(pin!$D$48:$T$84,MATCH(ΥΠΟΛΟΓΙΣΜΟΙ!BF56,pin!$B$48:$B$84,0),MATCH(ΥΠΟΛΟΓΙΣΜΟΙ!AW56,pin!$D$47:$T$47,0)))</f>
        <v>1</v>
      </c>
      <c r="BH56" s="464">
        <f>INDEX(pin!$D$48:$T$84,MATCH(ΥΠΟΛΟΓΙΣΜΟΙ!BE56,pin!$B$48:$B$84,0),MATCH(ΥΠΟΛΟΓΙΣΜΟΙ!AX56,pin!$D$47:$T$47,0))+0.4*(BE56-AF56)*(INDEX(pin!$D$48:$T$84,MATCH(ΥΠΟΛΟΓΙΣΜΟΙ!BE56,pin!$B$48:$B$84,0),MATCH(ΥΠΟΛΟΓΙΣΜΟΙ!AX56,pin!$D$47:$T$47,0))-INDEX(pin!$D$48:$T$84,MATCH(ΥΠΟΛΟΓΙΣΜΟΙ!BF56,pin!$B$48:$B$84,0),MATCH(ΥΠΟΛΟΓΙΣΜΟΙ!AX56,pin!$D$47:$T$47,0)))</f>
        <v>1</v>
      </c>
      <c r="BI56" s="467">
        <f>INDEX(pin!$X$48:$AN$84,MATCH(ΥΠΟΛΟΓΙΣΜΟΙ!BE56,pin!$V$48:$V$84,0),MATCH(ΥΠΟΛΟΓΙΣΜΟΙ!AW56,pin!$X$47:$AN$47,0))+0.4*(BE56-AF56)*(INDEX(pin!$X$48:$AN$84,MATCH(ΥΠΟΛΟΓΙΣΜΟΙ!BE56,pin!$V$48:$V$84,0),MATCH(ΥΠΟΛΟΓΙΣΜΟΙ!AW56,pin!$X$47:$AN$47,0))-INDEX(pin!$X$48:$AN$84,MATCH(ΥΠΟΛΟΓΙΣΜΟΙ!BF56,pin!$V$48:$V$84,0),MATCH(ΥΠΟΛΟΓΙΣΜΟΙ!AW56,pin!$X$47:$AN$47,0)))</f>
        <v>1</v>
      </c>
      <c r="BJ56" s="466">
        <f>INDEX(pin!$X$48:$AN$84,MATCH(ΥΠΟΛΟΓΙΣΜΟΙ!BE56,pin!$V$48:$V$84,0),MATCH(ΥΠΟΛΟΓΙΣΜΟΙ!AX56,pin!$X$47:$AN$47,0))+0.4*(BE56-AF56)*(INDEX(pin!$X$48:$AN$84,MATCH(ΥΠΟΛΟΓΙΣΜΟΙ!BE56,pin!$V$48:$V$84,0),MATCH(ΥΠΟΛΟΓΙΣΜΟΙ!AX56,pin!$X$47:$AN$47,0))-INDEX(pin!$X$48:$AN$84,MATCH(ΥΠΟΛΟΓΙΣΜΟΙ!BF56,pin!$V$48:$V$84,0),MATCH(ΥΠΟΛΟΓΙΣΜΟΙ!AX56,pin!$X$47:$AN$47,0)))</f>
        <v>1</v>
      </c>
      <c r="BK56" s="467">
        <f t="shared" si="151"/>
        <v>0</v>
      </c>
      <c r="BL56" s="464">
        <f t="shared" si="152"/>
        <v>0</v>
      </c>
      <c r="BM56" s="464">
        <f>INDEX(pin!$X$48:$AN$84,MATCH(ΥΠΟΛΟΓΙΣΜΟΙ!BK56,pin!$V$48:$V$84,0),MATCH(ΥΠΟΛΟΓΙΣΜΟΙ!AW56,pin!$X$47:$AN$47,0))+0.4*(BK56-AG56)*(INDEX(pin!$X$48:$AN$84,MATCH(ΥΠΟΛΟΓΙΣΜΟΙ!BK56,pin!$V$48:$V$84,0),MATCH(ΥΠΟΛΟΓΙΣΜΟΙ!AW56,pin!$X$47:$AN$47,0))-INDEX(pin!$X$48:$AN$84,MATCH(ΥΠΟΛΟΓΙΣΜΟΙ!BL56,pin!$V$48:$V$84,0),MATCH(ΥΠΟΛΟΓΙΣΜΟΙ!AW56,pin!$X$47:$AN$47,0)))</f>
        <v>1</v>
      </c>
      <c r="BN56" s="466">
        <f>INDEX(pin!$X$48:$AN$84,MATCH(ΥΠΟΛΟΓΙΣΜΟΙ!BK56,pin!$V$48:$V$84,0),MATCH(ΥΠΟΛΟΓΙΣΜΟΙ!AX56,pin!$X$47:$AN$47,0))+0.4*(BK56-AG56)*(INDEX(pin!$X$48:$AN$84,MATCH(ΥΠΟΛΟΓΙΣΜΟΙ!BK56,pin!$V$48:$V$84,0),MATCH(ΥΠΟΛΟΓΙΣΜΟΙ!AX56,pin!$X$47:$AN$47,0))-INDEX(pin!$X$48:$AN$84,MATCH(ΥΠΟΛΟΓΙΣΜΟΙ!BL56,pin!$V$48:$V$84,0),MATCH(ΥΠΟΛΟΓΙΣΜΟΙ!AX56,pin!$X$47:$AN$47,0)))</f>
        <v>1</v>
      </c>
      <c r="BO56" s="467">
        <f t="shared" si="153"/>
        <v>0</v>
      </c>
      <c r="BP56" s="464">
        <f t="shared" si="154"/>
        <v>0</v>
      </c>
      <c r="BQ56" s="464">
        <f>INDEX(pin!$D$114:$T$132,MATCH(ΥΠΟΛΟΓΙΣΜΟΙ!BO56,pin!$B$114:$B$132,0),MATCH(ΥΠΟΛΟΓΙΣΜΟΙ!AW56,pin!$D$113:$T$113,0))+0.2*(BO56-AH56)*(INDEX(pin!$D$114:$T$132,MATCH(ΥΠΟΛΟΓΙΣΜΟΙ!BO56,pin!$B$114:$B$132,0),MATCH(ΥΠΟΛΟΓΙΣΜΟΙ!AW56,pin!$D$113:$T$113,0))-INDEX(pin!$D$114:$T$132,MATCH(ΥΠΟΛΟΓΙΣΜΟΙ!BP56,pin!$B$114:$B$132,0),MATCH(ΥΠΟΛΟΓΙΣΜΟΙ!AW56,pin!$D$113:$T$113,0)))</f>
        <v>1</v>
      </c>
      <c r="BR56" s="464">
        <f>INDEX(pin!$D$114:$T$132,MATCH(ΥΠΟΛΟΓΙΣΜΟΙ!BO56,pin!$B$114:$B$132,0),MATCH(ΥΠΟΛΟΓΙΣΜΟΙ!AX56,pin!$D$113:$T$113,0))+0.2*(BO56-AH56)*(INDEX(pin!$D$114:$T$132,MATCH(ΥΠΟΛΟΓΙΣΜΟΙ!BO56,pin!$B$114:$B$132,0),MATCH(ΥΠΟΛΟΓΙΣΜΟΙ!AX56,pin!$D$113:$T$113,0))-INDEX(pin!$D$114:$T$132,MATCH(ΥΠΟΛΟΓΙΣΜΟΙ!BP56,pin!$B$114:$B$132,0),MATCH(ΥΠΟΛΟΓΙΣΜΟΙ!AX56,pin!$D$113:$T$113,0)))</f>
        <v>1</v>
      </c>
      <c r="BS56" s="467">
        <f>INDEX(pin!$X$114:$AN$132,MATCH(ΥΠΟΛΟΓΙΣΜΟΙ!BO56,pin!$V$114:$V$132,0),MATCH(ΥΠΟΛΟΓΙΣΜΟΙ!AW56,pin!$X$113:$AN$113,0))+0.2*(BO56-AH56)*(INDEX(pin!$X$114:$AN$132,MATCH(ΥΠΟΛΟΓΙΣΜΟΙ!BO56,pin!$V$114:$V$132,0),MATCH(ΥΠΟΛΟΓΙΣΜΟΙ!AW56,pin!$X$113:$AN$113,0))-INDEX(pin!$X$114:$AN$132,MATCH(ΥΠΟΛΟΓΙΣΜΟΙ!BP56,pin!$V$114:$V$132,0),MATCH(ΥΠΟΛΟΓΙΣΜΟΙ!AW56,pin!$X$113:$AN$113,0)))</f>
        <v>1</v>
      </c>
      <c r="BT56" s="466">
        <f>INDEX(pin!$X$114:$AN$132,MATCH(ΥΠΟΛΟΓΙΣΜΟΙ!BO56,pin!$V$114:$V$132,0),MATCH(ΥΠΟΛΟΓΙΣΜΟΙ!AX56,pin!$X$113:$AN$113,0))+0.2*(BO56-AH56)*(INDEX(pin!$X$114:$AN$132,MATCH(ΥΠΟΛΟΓΙΣΜΟΙ!BO56,pin!$V$114:$V$132,0),MATCH(ΥΠΟΛΟΓΙΣΜΟΙ!AX56,pin!$X$113:$AN$113,0))-INDEX(pin!$X$114:$AN$132,MATCH(ΥΠΟΛΟΓΙΣΜΟΙ!BP56,pin!$V$114:$V$132,0),MATCH(ΥΠΟΛΟΓΙΣΜΟΙ!AX56,pin!$X$113:$AN$113,0)))</f>
        <v>1</v>
      </c>
      <c r="BU56" s="467">
        <f t="shared" si="155"/>
        <v>0</v>
      </c>
      <c r="BV56" s="464">
        <f t="shared" si="156"/>
        <v>0</v>
      </c>
      <c r="BW56" s="464">
        <f>INDEX(pin!$D$90:$T$108,MATCH(ΥΠΟΛΟΓΙΣΜΟΙ!BU56,pin!$B$90:$B$108,0),MATCH(ΥΠΟΛΟΓΙΣΜΟΙ!AW56,pin!$D$89:$T$89,0))+0.2*(BU56-AI56)*(INDEX(pin!$D$90:$T$108,MATCH(ΥΠΟΛΟΓΙΣΜΟΙ!BU56,pin!$B$90:$B$108,0),MATCH(ΥΠΟΛΟΓΙΣΜΟΙ!AW56,pin!$D$89:$T$89,0))-INDEX(pin!$D$90:$T$108,MATCH(ΥΠΟΛΟΓΙΣΜΟΙ!BV56,pin!$B$90:$B$108,0),MATCH(ΥΠΟΛΟΓΙΣΜΟΙ!AW56,pin!$D$89:$T$89,0)))</f>
        <v>1</v>
      </c>
      <c r="BX56" s="466">
        <f>INDEX(pin!$D$90:$T$108,MATCH(ΥΠΟΛΟΓΙΣΜΟΙ!BU56,pin!$B$90:$B$108,0),MATCH(ΥΠΟΛΟΓΙΣΜΟΙ!AX56,pin!$D$89:$T$89,0))+0.2*(BU56-AI56)*(INDEX(pin!$D$90:$T$108,MATCH(ΥΠΟΛΟΓΙΣΜΟΙ!BU56,pin!$B$90:$B$108,0),MATCH(ΥΠΟΛΟΓΙΣΜΟΙ!AX56,pin!$D$89:$T$89,0))-INDEX(pin!$D$90:$T$108,MATCH(ΥΠΟΛΟΓΙΣΜΟΙ!BV56,pin!$B$90:$B$108,0),MATCH(ΥΠΟΛΟΓΙΣΜΟΙ!AX56,pin!$D$89:$T$89,0)))</f>
        <v>1</v>
      </c>
      <c r="BY56" s="464">
        <f>INDEX(pin!$X$90:$AN$108,MATCH(ΥΠΟΛΟΓΙΣΜΟΙ!BU56,pin!$V$90:$V$108,0),MATCH(ΥΠΟΛΟΓΙΣΜΟΙ!AW56,pin!$X$89:$AN$89,0))+0.2*(BU56-AI56)*(INDEX(pin!$X$90:$AN$108,MATCH(ΥΠΟΛΟΓΙΣΜΟΙ!BU56,pin!$V$90:$V$108,0),MATCH(ΥΠΟΛΟΓΙΣΜΟΙ!AW56,pin!$X$89:$AN$89,0))-INDEX(pin!$X$90:$AN$108,MATCH(ΥΠΟΛΟΓΙΣΜΟΙ!BV56,pin!$V$90:$V$108,0),MATCH(ΥΠΟΛΟΓΙΣΜΟΙ!AW56,pin!$X$89:$AN$89,0)))</f>
        <v>1</v>
      </c>
      <c r="BZ56" s="466">
        <f>INDEX(pin!$X$90:$AN$108,MATCH(ΥΠΟΛΟΓΙΣΜΟΙ!BU56,pin!$V$90:$V$108,0),MATCH(ΥΠΟΛΟΓΙΣΜΟΙ!AX56,pin!$X$89:$AN$89,0))+0.2*(BU56-AI56)*(INDEX(pin!$X$90:$AN$108,MATCH(ΥΠΟΛΟΓΙΣΜΟΙ!BU56,pin!$V$90:$V$108,0),MATCH(ΥΠΟΛΟΓΙΣΜΟΙ!AX56,pin!$X$89:$AN$89,0))-INDEX(pin!$X$90:$AN$108,MATCH(ΥΠΟΛΟΓΙΣΜΟΙ!BV56,pin!$V$90:$V$108,0),MATCH(ΥΠΟΛΟΓΙΣΜΟΙ!AX56,pin!$X$89:$AN$89,0)))</f>
        <v>1</v>
      </c>
      <c r="CA56" s="189"/>
    </row>
    <row r="57" spans="1:119" s="34" customFormat="1">
      <c r="A57" s="462">
        <v>12</v>
      </c>
      <c r="B57" s="118"/>
      <c r="C57" s="116"/>
      <c r="D57" s="116"/>
      <c r="E57" s="116"/>
      <c r="F57" s="47" t="str">
        <f t="shared" si="125"/>
        <v>-</v>
      </c>
      <c r="G57" s="81" t="str">
        <f t="shared" si="126"/>
        <v>-</v>
      </c>
      <c r="H57" s="235"/>
      <c r="I57" s="119"/>
      <c r="J57" s="269" t="s">
        <v>607</v>
      </c>
      <c r="K57" s="123"/>
      <c r="L57" s="387"/>
      <c r="M57" s="560" t="s">
        <v>670</v>
      </c>
      <c r="N57" s="561"/>
      <c r="O57" s="46">
        <f t="shared" si="127"/>
        <v>1</v>
      </c>
      <c r="P57" s="120">
        <f t="shared" si="128"/>
        <v>1</v>
      </c>
      <c r="Q57" s="46">
        <f t="shared" si="129"/>
        <v>1</v>
      </c>
      <c r="R57" s="120">
        <f t="shared" si="130"/>
        <v>1</v>
      </c>
      <c r="S57" s="46">
        <f t="shared" si="131"/>
        <v>1</v>
      </c>
      <c r="T57" s="120">
        <f t="shared" si="132"/>
        <v>1</v>
      </c>
      <c r="U57" s="461"/>
      <c r="V57" s="124" t="str">
        <f t="shared" si="133"/>
        <v>-</v>
      </c>
      <c r="W57" s="116"/>
      <c r="X57" s="124" t="str">
        <f t="shared" si="134"/>
        <v>-</v>
      </c>
      <c r="Y57" s="461"/>
      <c r="Z57" s="122"/>
      <c r="AA57" s="116"/>
      <c r="AB57" s="116"/>
      <c r="AC57" s="461"/>
      <c r="AD57" s="117"/>
      <c r="AE57" s="204">
        <f t="shared" si="135"/>
        <v>0</v>
      </c>
      <c r="AF57" s="180">
        <f t="shared" si="136"/>
        <v>0</v>
      </c>
      <c r="AG57" s="468">
        <f t="shared" si="137"/>
        <v>0</v>
      </c>
      <c r="AH57" s="180">
        <f t="shared" si="138"/>
        <v>0</v>
      </c>
      <c r="AI57" s="180">
        <f t="shared" si="139"/>
        <v>0</v>
      </c>
      <c r="AJ57" s="465">
        <f t="shared" si="140"/>
        <v>1</v>
      </c>
      <c r="AK57" s="465">
        <f t="shared" si="141"/>
        <v>1</v>
      </c>
      <c r="AL57" s="465">
        <f t="shared" si="142"/>
        <v>1</v>
      </c>
      <c r="AM57" s="465">
        <f t="shared" si="143"/>
        <v>1</v>
      </c>
      <c r="AN57" s="467">
        <f t="shared" si="144"/>
        <v>0</v>
      </c>
      <c r="AO57" s="464"/>
      <c r="AP57" s="464"/>
      <c r="AQ57" s="464"/>
      <c r="AR57" s="464"/>
      <c r="AS57" s="464"/>
      <c r="AT57" s="464"/>
      <c r="AU57" s="464"/>
      <c r="AV57" s="464" t="s">
        <v>256</v>
      </c>
      <c r="AW57" s="464">
        <f t="shared" si="145"/>
        <v>0</v>
      </c>
      <c r="AX57" s="466">
        <f t="shared" si="146"/>
        <v>0</v>
      </c>
      <c r="AY57" s="467">
        <f t="shared" si="147"/>
        <v>0</v>
      </c>
      <c r="AZ57" s="464">
        <f t="shared" si="148"/>
        <v>0</v>
      </c>
      <c r="BA57" s="464">
        <f>INDEX(pin!$D$6:$T$42,MATCH(ΥΠΟΛΟΓΙΣΜΟΙ!AY57,pin!$B$6:$B$42,0),MATCH(ΥΠΟΛΟΓΙΣΜΟΙ!AW57,pin!$D$5:$T$5,0))+0.4*(AY57-AE57)*(INDEX(pin!$D$6:$T$42,MATCH(ΥΠΟΛΟΓΙΣΜΟΙ!AY57,pin!$B$6:$B$42,0),MATCH(ΥΠΟΛΟΓΙΣΜΟΙ!AW57,pin!$D$5:$T$5,0))-INDEX(pin!$D$6:$T$42,MATCH(ΥΠΟΛΟΓΙΣΜΟΙ!AZ57,pin!$B$6:$B$42,0),MATCH(ΥΠΟΛΟΓΙΣΜΟΙ!AW57,pin!$D$5:$T$5,0)))</f>
        <v>1</v>
      </c>
      <c r="BB57" s="466">
        <f>INDEX(pin!$D$6:$T$42,MATCH(ΥΠΟΛΟΓΙΣΜΟΙ!AY57,pin!$B$6:$B$42,0),MATCH(ΥΠΟΛΟΓΙΣΜΟΙ!AX57,pin!$D$5:$T$5,0))+0.4*(AY57-AE57)*(INDEX(pin!$D$6:$T$42,MATCH(ΥΠΟΛΟΓΙΣΜΟΙ!AY57,pin!$B$6:$B$42,0),MATCH(ΥΠΟΛΟΓΙΣΜΟΙ!AX57,pin!$D$5:$T$5,0))-INDEX(pin!$D$6:$T$42,MATCH(ΥΠΟΛΟΓΙΣΜΟΙ!AZ57,pin!$B$6:$B$42,0),MATCH(ΥΠΟΛΟΓΙΣΜΟΙ!AX57,pin!$D$5:$T$5,0)))</f>
        <v>1</v>
      </c>
      <c r="BC57" s="464">
        <f>INDEX(pin!$X$6:$AN$42,MATCH(ΥΠΟΛΟΓΙΣΜΟΙ!AY57,pin!$V$6:$V$42,0),MATCH(ΥΠΟΛΟΓΙΣΜΟΙ!AW57,pin!$X$5:$AN$5,0))+0.4*(AY57-AE57)*(INDEX(pin!$X$6:$AN$42,MATCH(ΥΠΟΛΟΓΙΣΜΟΙ!AY57,pin!$V$6:$V$42,0),MATCH(ΥΠΟΛΟΓΙΣΜΟΙ!AW57,pin!$X$5:$AN$5,0))-INDEX(pin!$X$6:$AN$42,MATCH(ΥΠΟΛΟΓΙΣΜΟΙ!AZ57,pin!$V$6:$V$42,0),MATCH(ΥΠΟΛΟΓΙΣΜΟΙ!AW57,pin!$X$5:$AN$5,0)))</f>
        <v>1</v>
      </c>
      <c r="BD57" s="464">
        <f>INDEX(pin!$X$6:$AN$42,MATCH(ΥΠΟΛΟΓΙΣΜΟΙ!AY57,pin!$V$6:$V$42,0),MATCH(ΥΠΟΛΟΓΙΣΜΟΙ!AX57,pin!$X$5:$AN$5,0))+0.4*(AY57-AE57)*(INDEX(pin!$X$6:$AN$42,MATCH(ΥΠΟΛΟΓΙΣΜΟΙ!AY57,pin!$V$6:$V$42,0),MATCH(ΥΠΟΛΟΓΙΣΜΟΙ!AX57,pin!$X$5:$AN$5,0))-INDEX(pin!$X$6:$AN$42,MATCH(ΥΠΟΛΟΓΙΣΜΟΙ!AZ57,pin!$V$6:$V$42,0),MATCH(ΥΠΟΛΟΓΙΣΜΟΙ!AX57,pin!$X$5:$AN$5,0)))</f>
        <v>1</v>
      </c>
      <c r="BE57" s="467">
        <f t="shared" si="149"/>
        <v>0</v>
      </c>
      <c r="BF57" s="464">
        <f t="shared" si="150"/>
        <v>0</v>
      </c>
      <c r="BG57" s="464">
        <f>INDEX(pin!$D$48:$T$84,MATCH(ΥΠΟΛΟΓΙΣΜΟΙ!BE57,pin!$B$48:$B$84,0),MATCH(ΥΠΟΛΟΓΙΣΜΟΙ!AW57,pin!$D$47:$T$47,0))+0.4*(BE57-AF57)*(INDEX(pin!$D$48:$T$84,MATCH(ΥΠΟΛΟΓΙΣΜΟΙ!BE57,pin!$B$48:$B$84,0),MATCH(ΥΠΟΛΟΓΙΣΜΟΙ!AW57,pin!$D$47:$T$47,0))-INDEX(pin!$D$48:$T$84,MATCH(ΥΠΟΛΟΓΙΣΜΟΙ!BF57,pin!$B$48:$B$84,0),MATCH(ΥΠΟΛΟΓΙΣΜΟΙ!AW57,pin!$D$47:$T$47,0)))</f>
        <v>1</v>
      </c>
      <c r="BH57" s="464">
        <f>INDEX(pin!$D$48:$T$84,MATCH(ΥΠΟΛΟΓΙΣΜΟΙ!BE57,pin!$B$48:$B$84,0),MATCH(ΥΠΟΛΟΓΙΣΜΟΙ!AX57,pin!$D$47:$T$47,0))+0.4*(BE57-AF57)*(INDEX(pin!$D$48:$T$84,MATCH(ΥΠΟΛΟΓΙΣΜΟΙ!BE57,pin!$B$48:$B$84,0),MATCH(ΥΠΟΛΟΓΙΣΜΟΙ!AX57,pin!$D$47:$T$47,0))-INDEX(pin!$D$48:$T$84,MATCH(ΥΠΟΛΟΓΙΣΜΟΙ!BF57,pin!$B$48:$B$84,0),MATCH(ΥΠΟΛΟΓΙΣΜΟΙ!AX57,pin!$D$47:$T$47,0)))</f>
        <v>1</v>
      </c>
      <c r="BI57" s="467">
        <f>INDEX(pin!$X$48:$AN$84,MATCH(ΥΠΟΛΟΓΙΣΜΟΙ!BE57,pin!$V$48:$V$84,0),MATCH(ΥΠΟΛΟΓΙΣΜΟΙ!AW57,pin!$X$47:$AN$47,0))+0.4*(BE57-AF57)*(INDEX(pin!$X$48:$AN$84,MATCH(ΥΠΟΛΟΓΙΣΜΟΙ!BE57,pin!$V$48:$V$84,0),MATCH(ΥΠΟΛΟΓΙΣΜΟΙ!AW57,pin!$X$47:$AN$47,0))-INDEX(pin!$X$48:$AN$84,MATCH(ΥΠΟΛΟΓΙΣΜΟΙ!BF57,pin!$V$48:$V$84,0),MATCH(ΥΠΟΛΟΓΙΣΜΟΙ!AW57,pin!$X$47:$AN$47,0)))</f>
        <v>1</v>
      </c>
      <c r="BJ57" s="466">
        <f>INDEX(pin!$X$48:$AN$84,MATCH(ΥΠΟΛΟΓΙΣΜΟΙ!BE57,pin!$V$48:$V$84,0),MATCH(ΥΠΟΛΟΓΙΣΜΟΙ!AX57,pin!$X$47:$AN$47,0))+0.4*(BE57-AF57)*(INDEX(pin!$X$48:$AN$84,MATCH(ΥΠΟΛΟΓΙΣΜΟΙ!BE57,pin!$V$48:$V$84,0),MATCH(ΥΠΟΛΟΓΙΣΜΟΙ!AX57,pin!$X$47:$AN$47,0))-INDEX(pin!$X$48:$AN$84,MATCH(ΥΠΟΛΟΓΙΣΜΟΙ!BF57,pin!$V$48:$V$84,0),MATCH(ΥΠΟΛΟΓΙΣΜΟΙ!AX57,pin!$X$47:$AN$47,0)))</f>
        <v>1</v>
      </c>
      <c r="BK57" s="467">
        <f t="shared" si="151"/>
        <v>0</v>
      </c>
      <c r="BL57" s="464">
        <f t="shared" si="152"/>
        <v>0</v>
      </c>
      <c r="BM57" s="464">
        <f>INDEX(pin!$X$48:$AN$84,MATCH(ΥΠΟΛΟΓΙΣΜΟΙ!BK57,pin!$V$48:$V$84,0),MATCH(ΥΠΟΛΟΓΙΣΜΟΙ!AW57,pin!$X$47:$AN$47,0))+0.4*(BK57-AG57)*(INDEX(pin!$X$48:$AN$84,MATCH(ΥΠΟΛΟΓΙΣΜΟΙ!BK57,pin!$V$48:$V$84,0),MATCH(ΥΠΟΛΟΓΙΣΜΟΙ!AW57,pin!$X$47:$AN$47,0))-INDEX(pin!$X$48:$AN$84,MATCH(ΥΠΟΛΟΓΙΣΜΟΙ!BL57,pin!$V$48:$V$84,0),MATCH(ΥΠΟΛΟΓΙΣΜΟΙ!AW57,pin!$X$47:$AN$47,0)))</f>
        <v>1</v>
      </c>
      <c r="BN57" s="466">
        <f>INDEX(pin!$X$48:$AN$84,MATCH(ΥΠΟΛΟΓΙΣΜΟΙ!BK57,pin!$V$48:$V$84,0),MATCH(ΥΠΟΛΟΓΙΣΜΟΙ!AX57,pin!$X$47:$AN$47,0))+0.4*(BK57-AG57)*(INDEX(pin!$X$48:$AN$84,MATCH(ΥΠΟΛΟΓΙΣΜΟΙ!BK57,pin!$V$48:$V$84,0),MATCH(ΥΠΟΛΟΓΙΣΜΟΙ!AX57,pin!$X$47:$AN$47,0))-INDEX(pin!$X$48:$AN$84,MATCH(ΥΠΟΛΟΓΙΣΜΟΙ!BL57,pin!$V$48:$V$84,0),MATCH(ΥΠΟΛΟΓΙΣΜΟΙ!AX57,pin!$X$47:$AN$47,0)))</f>
        <v>1</v>
      </c>
      <c r="BO57" s="467">
        <f t="shared" si="153"/>
        <v>0</v>
      </c>
      <c r="BP57" s="464">
        <f t="shared" si="154"/>
        <v>0</v>
      </c>
      <c r="BQ57" s="464">
        <f>INDEX(pin!$D$114:$T$132,MATCH(ΥΠΟΛΟΓΙΣΜΟΙ!BO57,pin!$B$114:$B$132,0),MATCH(ΥΠΟΛΟΓΙΣΜΟΙ!AW57,pin!$D$113:$T$113,0))+0.2*(BO57-AH57)*(INDEX(pin!$D$114:$T$132,MATCH(ΥΠΟΛΟΓΙΣΜΟΙ!BO57,pin!$B$114:$B$132,0),MATCH(ΥΠΟΛΟΓΙΣΜΟΙ!AW57,pin!$D$113:$T$113,0))-INDEX(pin!$D$114:$T$132,MATCH(ΥΠΟΛΟΓΙΣΜΟΙ!BP57,pin!$B$114:$B$132,0),MATCH(ΥΠΟΛΟΓΙΣΜΟΙ!AW57,pin!$D$113:$T$113,0)))</f>
        <v>1</v>
      </c>
      <c r="BR57" s="464">
        <f>INDEX(pin!$D$114:$T$132,MATCH(ΥΠΟΛΟΓΙΣΜΟΙ!BO57,pin!$B$114:$B$132,0),MATCH(ΥΠΟΛΟΓΙΣΜΟΙ!AX57,pin!$D$113:$T$113,0))+0.2*(BO57-AH57)*(INDEX(pin!$D$114:$T$132,MATCH(ΥΠΟΛΟΓΙΣΜΟΙ!BO57,pin!$B$114:$B$132,0),MATCH(ΥΠΟΛΟΓΙΣΜΟΙ!AX57,pin!$D$113:$T$113,0))-INDEX(pin!$D$114:$T$132,MATCH(ΥΠΟΛΟΓΙΣΜΟΙ!BP57,pin!$B$114:$B$132,0),MATCH(ΥΠΟΛΟΓΙΣΜΟΙ!AX57,pin!$D$113:$T$113,0)))</f>
        <v>1</v>
      </c>
      <c r="BS57" s="467">
        <f>INDEX(pin!$X$114:$AN$132,MATCH(ΥΠΟΛΟΓΙΣΜΟΙ!BO57,pin!$V$114:$V$132,0),MATCH(ΥΠΟΛΟΓΙΣΜΟΙ!AW57,pin!$X$113:$AN$113,0))+0.2*(BO57-AH57)*(INDEX(pin!$X$114:$AN$132,MATCH(ΥΠΟΛΟΓΙΣΜΟΙ!BO57,pin!$V$114:$V$132,0),MATCH(ΥΠΟΛΟΓΙΣΜΟΙ!AW57,pin!$X$113:$AN$113,0))-INDEX(pin!$X$114:$AN$132,MATCH(ΥΠΟΛΟΓΙΣΜΟΙ!BP57,pin!$V$114:$V$132,0),MATCH(ΥΠΟΛΟΓΙΣΜΟΙ!AW57,pin!$X$113:$AN$113,0)))</f>
        <v>1</v>
      </c>
      <c r="BT57" s="466">
        <f>INDEX(pin!$X$114:$AN$132,MATCH(ΥΠΟΛΟΓΙΣΜΟΙ!BO57,pin!$V$114:$V$132,0),MATCH(ΥΠΟΛΟΓΙΣΜΟΙ!AX57,pin!$X$113:$AN$113,0))+0.2*(BO57-AH57)*(INDEX(pin!$X$114:$AN$132,MATCH(ΥΠΟΛΟΓΙΣΜΟΙ!BO57,pin!$V$114:$V$132,0),MATCH(ΥΠΟΛΟΓΙΣΜΟΙ!AX57,pin!$X$113:$AN$113,0))-INDEX(pin!$X$114:$AN$132,MATCH(ΥΠΟΛΟΓΙΣΜΟΙ!BP57,pin!$V$114:$V$132,0),MATCH(ΥΠΟΛΟΓΙΣΜΟΙ!AX57,pin!$X$113:$AN$113,0)))</f>
        <v>1</v>
      </c>
      <c r="BU57" s="467">
        <f t="shared" si="155"/>
        <v>0</v>
      </c>
      <c r="BV57" s="464">
        <f t="shared" si="156"/>
        <v>0</v>
      </c>
      <c r="BW57" s="464">
        <f>INDEX(pin!$D$90:$T$108,MATCH(ΥΠΟΛΟΓΙΣΜΟΙ!BU57,pin!$B$90:$B$108,0),MATCH(ΥΠΟΛΟΓΙΣΜΟΙ!AW57,pin!$D$89:$T$89,0))+0.2*(BU57-AI57)*(INDEX(pin!$D$90:$T$108,MATCH(ΥΠΟΛΟΓΙΣΜΟΙ!BU57,pin!$B$90:$B$108,0),MATCH(ΥΠΟΛΟΓΙΣΜΟΙ!AW57,pin!$D$89:$T$89,0))-INDEX(pin!$D$90:$T$108,MATCH(ΥΠΟΛΟΓΙΣΜΟΙ!BV57,pin!$B$90:$B$108,0),MATCH(ΥΠΟΛΟΓΙΣΜΟΙ!AW57,pin!$D$89:$T$89,0)))</f>
        <v>1</v>
      </c>
      <c r="BX57" s="466">
        <f>INDEX(pin!$D$90:$T$108,MATCH(ΥΠΟΛΟΓΙΣΜΟΙ!BU57,pin!$B$90:$B$108,0),MATCH(ΥΠΟΛΟΓΙΣΜΟΙ!AX57,pin!$D$89:$T$89,0))+0.2*(BU57-AI57)*(INDEX(pin!$D$90:$T$108,MATCH(ΥΠΟΛΟΓΙΣΜΟΙ!BU57,pin!$B$90:$B$108,0),MATCH(ΥΠΟΛΟΓΙΣΜΟΙ!AX57,pin!$D$89:$T$89,0))-INDEX(pin!$D$90:$T$108,MATCH(ΥΠΟΛΟΓΙΣΜΟΙ!BV57,pin!$B$90:$B$108,0),MATCH(ΥΠΟΛΟΓΙΣΜΟΙ!AX57,pin!$D$89:$T$89,0)))</f>
        <v>1</v>
      </c>
      <c r="BY57" s="464">
        <f>INDEX(pin!$X$90:$AN$108,MATCH(ΥΠΟΛΟΓΙΣΜΟΙ!BU57,pin!$V$90:$V$108,0),MATCH(ΥΠΟΛΟΓΙΣΜΟΙ!AW57,pin!$X$89:$AN$89,0))+0.2*(BU57-AI57)*(INDEX(pin!$X$90:$AN$108,MATCH(ΥΠΟΛΟΓΙΣΜΟΙ!BU57,pin!$V$90:$V$108,0),MATCH(ΥΠΟΛΟΓΙΣΜΟΙ!AW57,pin!$X$89:$AN$89,0))-INDEX(pin!$X$90:$AN$108,MATCH(ΥΠΟΛΟΓΙΣΜΟΙ!BV57,pin!$V$90:$V$108,0),MATCH(ΥΠΟΛΟΓΙΣΜΟΙ!AW57,pin!$X$89:$AN$89,0)))</f>
        <v>1</v>
      </c>
      <c r="BZ57" s="466">
        <f>INDEX(pin!$X$90:$AN$108,MATCH(ΥΠΟΛΟΓΙΣΜΟΙ!BU57,pin!$V$90:$V$108,0),MATCH(ΥΠΟΛΟΓΙΣΜΟΙ!AX57,pin!$X$89:$AN$89,0))+0.2*(BU57-AI57)*(INDEX(pin!$X$90:$AN$108,MATCH(ΥΠΟΛΟΓΙΣΜΟΙ!BU57,pin!$V$90:$V$108,0),MATCH(ΥΠΟΛΟΓΙΣΜΟΙ!AX57,pin!$X$89:$AN$89,0))-INDEX(pin!$X$90:$AN$108,MATCH(ΥΠΟΛΟΓΙΣΜΟΙ!BV57,pin!$V$90:$V$108,0),MATCH(ΥΠΟΛΟΓΙΣΜΟΙ!AX57,pin!$X$89:$AN$89,0)))</f>
        <v>1</v>
      </c>
      <c r="CA57" s="189"/>
    </row>
    <row r="58" spans="1:119" s="34" customFormat="1">
      <c r="A58" s="490">
        <v>13</v>
      </c>
      <c r="B58" s="118"/>
      <c r="C58" s="116"/>
      <c r="D58" s="116"/>
      <c r="E58" s="116"/>
      <c r="F58" s="47" t="str">
        <f t="shared" ref="F58:F62" si="157">IF(C58=0,"-",D58-E58)</f>
        <v>-</v>
      </c>
      <c r="G58" s="81" t="str">
        <f t="shared" ref="G58:G62" si="158">IFERROR(IF(C58&gt;0,C58*F58,-1*C58*F58),"-")</f>
        <v>-</v>
      </c>
      <c r="H58" s="235"/>
      <c r="I58" s="119"/>
      <c r="J58" s="269" t="s">
        <v>607</v>
      </c>
      <c r="K58" s="123"/>
      <c r="L58" s="387"/>
      <c r="M58" s="560" t="s">
        <v>670</v>
      </c>
      <c r="N58" s="561"/>
      <c r="O58" s="46">
        <f t="shared" ref="O58:O62" si="159">IF(C58&gt;=0,BA58+0.0444*(H58-AW58)*(BB58-BA58),0)</f>
        <v>1</v>
      </c>
      <c r="P58" s="120">
        <f t="shared" ref="P58:P62" si="160">IF(C58&gt;=0,BC58+0.0444*(H58-AW58)*(BD58-BC58),0)</f>
        <v>1</v>
      </c>
      <c r="Q58" s="46">
        <f t="shared" ref="Q58:Q62" si="161">IF(C58&gt;=0,BG58+0.0444*(H58-AW58)*(BH58-BG58),0)</f>
        <v>1</v>
      </c>
      <c r="R58" s="120">
        <f t="shared" ref="R58:R62" si="162">IF(C58&gt;=0,IF(AG58=0,BI58+0.0444*(H58-AW58)*(BJ58-BI58),BM58+0.0444*(H58-AW58)*(BN58-BM58)),0)</f>
        <v>1</v>
      </c>
      <c r="S58" s="46">
        <f t="shared" ref="S58:S62" si="163">IF(C58&gt;=0,AJ58*AL58,0)</f>
        <v>1</v>
      </c>
      <c r="T58" s="120">
        <f t="shared" ref="T58:T62" si="164">IF(C58&gt;=0,AK58*AM58,0)</f>
        <v>1</v>
      </c>
      <c r="U58" s="499"/>
      <c r="V58" s="124" t="str">
        <f t="shared" ref="V58:V62" si="165">IF(U58=0,"-",K58-0.5*F58-E58)</f>
        <v>-</v>
      </c>
      <c r="W58" s="116"/>
      <c r="X58" s="124" t="str">
        <f t="shared" ref="X58:X62" si="166">IF(W58=0,"-",L58-0.5*F58-E58)</f>
        <v>-</v>
      </c>
      <c r="Y58" s="499"/>
      <c r="Z58" s="122"/>
      <c r="AA58" s="116"/>
      <c r="AB58" s="116"/>
      <c r="AC58" s="499"/>
      <c r="AD58" s="117"/>
      <c r="AE58" s="204">
        <f t="shared" ref="AE58:AE62" si="167">IFERROR(DEGREES(ATAN(V58/U58)),0)</f>
        <v>0</v>
      </c>
      <c r="AF58" s="180">
        <f t="shared" ref="AF58:AF62" si="168">IFERROR(DEGREES(ATAN(W58/X58)),0)</f>
        <v>0</v>
      </c>
      <c r="AG58" s="495">
        <f t="shared" ref="AG58:AG62" si="169">IF(Y58&gt;0,IF((Z58-0.5*F58-E58)&gt;0,DEGREES(ATAN(Y58/(Z58-0.5*F58-E58))),90),0)</f>
        <v>0</v>
      </c>
      <c r="AH58" s="180">
        <f t="shared" ref="AH58:AH62" si="170">IFERROR(DEGREES(ATAN(AA58/AB58)),0)</f>
        <v>0</v>
      </c>
      <c r="AI58" s="180">
        <f t="shared" ref="AI58:AI62" si="171">IFERROR(DEGREES(ATAN(AC58/AD58)),0)</f>
        <v>0</v>
      </c>
      <c r="AJ58" s="494">
        <f t="shared" ref="AJ58:AJ62" si="172">BQ58+0.0444*(H58-AW58)*(BR58-BQ58)</f>
        <v>1</v>
      </c>
      <c r="AK58" s="494">
        <f t="shared" ref="AK58:AK62" si="173">BS58+0.0444*(H58-AW58)*(BT58-BS58)</f>
        <v>1</v>
      </c>
      <c r="AL58" s="494">
        <f t="shared" ref="AL58:AL62" si="174">BW58+0.0444*(H58-AW58)*(BX58-BW58)</f>
        <v>1</v>
      </c>
      <c r="AM58" s="494">
        <f t="shared" ref="AM58:AM62" si="175">BY58+0.0444*(H58-AW58)*(BZ58-BY58)</f>
        <v>1</v>
      </c>
      <c r="AN58" s="493">
        <f t="shared" ref="AN58:AN62" si="176">IF(H58=-1,"-",MROUND(H58, 22.5))</f>
        <v>0</v>
      </c>
      <c r="AO58" s="491"/>
      <c r="AP58" s="491"/>
      <c r="AQ58" s="491"/>
      <c r="AR58" s="491"/>
      <c r="AS58" s="491"/>
      <c r="AT58" s="491"/>
      <c r="AU58" s="491"/>
      <c r="AV58" s="491" t="s">
        <v>256</v>
      </c>
      <c r="AW58" s="491">
        <f t="shared" ref="AW58:AW62" si="177">IF(AN58-H58&lt;=0,AN58,AN58-22.5)</f>
        <v>0</v>
      </c>
      <c r="AX58" s="492">
        <f t="shared" ref="AX58:AX62" si="178">IF(AN58-H58=0,AN58,AW58+22.5)</f>
        <v>0</v>
      </c>
      <c r="AY58" s="493">
        <f t="shared" ref="AY58:AY62" si="179">IF(MROUND(AE58,2.5)-AE58&lt;=0,MROUND(AE58,2.5),MROUND(AE58,2.5)-2.5)</f>
        <v>0</v>
      </c>
      <c r="AZ58" s="491">
        <f t="shared" ref="AZ58:AZ62" si="180">IF(MROUND(AE58,2.5)-AE58=0,MROUND(AE58,2.5),AY58+2.5)</f>
        <v>0</v>
      </c>
      <c r="BA58" s="491">
        <f>INDEX(pin!$D$6:$T$42,MATCH(ΥΠΟΛΟΓΙΣΜΟΙ!AY58,pin!$B$6:$B$42,0),MATCH(ΥΠΟΛΟΓΙΣΜΟΙ!AW58,pin!$D$5:$T$5,0))+0.4*(AY58-AE58)*(INDEX(pin!$D$6:$T$42,MATCH(ΥΠΟΛΟΓΙΣΜΟΙ!AY58,pin!$B$6:$B$42,0),MATCH(ΥΠΟΛΟΓΙΣΜΟΙ!AW58,pin!$D$5:$T$5,0))-INDEX(pin!$D$6:$T$42,MATCH(ΥΠΟΛΟΓΙΣΜΟΙ!AZ58,pin!$B$6:$B$42,0),MATCH(ΥΠΟΛΟΓΙΣΜΟΙ!AW58,pin!$D$5:$T$5,0)))</f>
        <v>1</v>
      </c>
      <c r="BB58" s="492">
        <f>INDEX(pin!$D$6:$T$42,MATCH(ΥΠΟΛΟΓΙΣΜΟΙ!AY58,pin!$B$6:$B$42,0),MATCH(ΥΠΟΛΟΓΙΣΜΟΙ!AX58,pin!$D$5:$T$5,0))+0.4*(AY58-AE58)*(INDEX(pin!$D$6:$T$42,MATCH(ΥΠΟΛΟΓΙΣΜΟΙ!AY58,pin!$B$6:$B$42,0),MATCH(ΥΠΟΛΟΓΙΣΜΟΙ!AX58,pin!$D$5:$T$5,0))-INDEX(pin!$D$6:$T$42,MATCH(ΥΠΟΛΟΓΙΣΜΟΙ!AZ58,pin!$B$6:$B$42,0),MATCH(ΥΠΟΛΟΓΙΣΜΟΙ!AX58,pin!$D$5:$T$5,0)))</f>
        <v>1</v>
      </c>
      <c r="BC58" s="491">
        <f>INDEX(pin!$X$6:$AN$42,MATCH(ΥΠΟΛΟΓΙΣΜΟΙ!AY58,pin!$V$6:$V$42,0),MATCH(ΥΠΟΛΟΓΙΣΜΟΙ!AW58,pin!$X$5:$AN$5,0))+0.4*(AY58-AE58)*(INDEX(pin!$X$6:$AN$42,MATCH(ΥΠΟΛΟΓΙΣΜΟΙ!AY58,pin!$V$6:$V$42,0),MATCH(ΥΠΟΛΟΓΙΣΜΟΙ!AW58,pin!$X$5:$AN$5,0))-INDEX(pin!$X$6:$AN$42,MATCH(ΥΠΟΛΟΓΙΣΜΟΙ!AZ58,pin!$V$6:$V$42,0),MATCH(ΥΠΟΛΟΓΙΣΜΟΙ!AW58,pin!$X$5:$AN$5,0)))</f>
        <v>1</v>
      </c>
      <c r="BD58" s="491">
        <f>INDEX(pin!$X$6:$AN$42,MATCH(ΥΠΟΛΟΓΙΣΜΟΙ!AY58,pin!$V$6:$V$42,0),MATCH(ΥΠΟΛΟΓΙΣΜΟΙ!AX58,pin!$X$5:$AN$5,0))+0.4*(AY58-AE58)*(INDEX(pin!$X$6:$AN$42,MATCH(ΥΠΟΛΟΓΙΣΜΟΙ!AY58,pin!$V$6:$V$42,0),MATCH(ΥΠΟΛΟΓΙΣΜΟΙ!AX58,pin!$X$5:$AN$5,0))-INDEX(pin!$X$6:$AN$42,MATCH(ΥΠΟΛΟΓΙΣΜΟΙ!AZ58,pin!$V$6:$V$42,0),MATCH(ΥΠΟΛΟΓΙΣΜΟΙ!AX58,pin!$X$5:$AN$5,0)))</f>
        <v>1</v>
      </c>
      <c r="BE58" s="493">
        <f t="shared" ref="BE58:BE62" si="181">IF(MROUND(AF58,2.5)-AF58&lt;=0,MROUND(AF58,2.5),MROUND(AF58,2.5)-2.5)</f>
        <v>0</v>
      </c>
      <c r="BF58" s="491">
        <f t="shared" ref="BF58:BF62" si="182">IF(MROUND(AF58,2.5)-AF58=0,MROUND(AF58,2.5),BE58+2.5)</f>
        <v>0</v>
      </c>
      <c r="BG58" s="491">
        <f>INDEX(pin!$D$48:$T$84,MATCH(ΥΠΟΛΟΓΙΣΜΟΙ!BE58,pin!$B$48:$B$84,0),MATCH(ΥΠΟΛΟΓΙΣΜΟΙ!AW58,pin!$D$47:$T$47,0))+0.4*(BE58-AF58)*(INDEX(pin!$D$48:$T$84,MATCH(ΥΠΟΛΟΓΙΣΜΟΙ!BE58,pin!$B$48:$B$84,0),MATCH(ΥΠΟΛΟΓΙΣΜΟΙ!AW58,pin!$D$47:$T$47,0))-INDEX(pin!$D$48:$T$84,MATCH(ΥΠΟΛΟΓΙΣΜΟΙ!BF58,pin!$B$48:$B$84,0),MATCH(ΥΠΟΛΟΓΙΣΜΟΙ!AW58,pin!$D$47:$T$47,0)))</f>
        <v>1</v>
      </c>
      <c r="BH58" s="491">
        <f>INDEX(pin!$D$48:$T$84,MATCH(ΥΠΟΛΟΓΙΣΜΟΙ!BE58,pin!$B$48:$B$84,0),MATCH(ΥΠΟΛΟΓΙΣΜΟΙ!AX58,pin!$D$47:$T$47,0))+0.4*(BE58-AF58)*(INDEX(pin!$D$48:$T$84,MATCH(ΥΠΟΛΟΓΙΣΜΟΙ!BE58,pin!$B$48:$B$84,0),MATCH(ΥΠΟΛΟΓΙΣΜΟΙ!AX58,pin!$D$47:$T$47,0))-INDEX(pin!$D$48:$T$84,MATCH(ΥΠΟΛΟΓΙΣΜΟΙ!BF58,pin!$B$48:$B$84,0),MATCH(ΥΠΟΛΟΓΙΣΜΟΙ!AX58,pin!$D$47:$T$47,0)))</f>
        <v>1</v>
      </c>
      <c r="BI58" s="493">
        <f>INDEX(pin!$X$48:$AN$84,MATCH(ΥΠΟΛΟΓΙΣΜΟΙ!BE58,pin!$V$48:$V$84,0),MATCH(ΥΠΟΛΟΓΙΣΜΟΙ!AW58,pin!$X$47:$AN$47,0))+0.4*(BE58-AF58)*(INDEX(pin!$X$48:$AN$84,MATCH(ΥΠΟΛΟΓΙΣΜΟΙ!BE58,pin!$V$48:$V$84,0),MATCH(ΥΠΟΛΟΓΙΣΜΟΙ!AW58,pin!$X$47:$AN$47,0))-INDEX(pin!$X$48:$AN$84,MATCH(ΥΠΟΛΟΓΙΣΜΟΙ!BF58,pin!$V$48:$V$84,0),MATCH(ΥΠΟΛΟΓΙΣΜΟΙ!AW58,pin!$X$47:$AN$47,0)))</f>
        <v>1</v>
      </c>
      <c r="BJ58" s="492">
        <f>INDEX(pin!$X$48:$AN$84,MATCH(ΥΠΟΛΟΓΙΣΜΟΙ!BE58,pin!$V$48:$V$84,0),MATCH(ΥΠΟΛΟΓΙΣΜΟΙ!AX58,pin!$X$47:$AN$47,0))+0.4*(BE58-AF58)*(INDEX(pin!$X$48:$AN$84,MATCH(ΥΠΟΛΟΓΙΣΜΟΙ!BE58,pin!$V$48:$V$84,0),MATCH(ΥΠΟΛΟΓΙΣΜΟΙ!AX58,pin!$X$47:$AN$47,0))-INDEX(pin!$X$48:$AN$84,MATCH(ΥΠΟΛΟΓΙΣΜΟΙ!BF58,pin!$V$48:$V$84,0),MATCH(ΥΠΟΛΟΓΙΣΜΟΙ!AX58,pin!$X$47:$AN$47,0)))</f>
        <v>1</v>
      </c>
      <c r="BK58" s="493">
        <f t="shared" ref="BK58:BK62" si="183">IF(MROUND(AG58,2.5)-AG58&lt;=0,MROUND(AG58,2.5),MROUND(AG58,2.5)-2.5)</f>
        <v>0</v>
      </c>
      <c r="BL58" s="491">
        <f t="shared" ref="BL58:BL62" si="184">IF(MROUND(AG58,2.5)-AG58=0,MROUND(AG58,2.5),BK58+2.5)</f>
        <v>0</v>
      </c>
      <c r="BM58" s="491">
        <f>INDEX(pin!$X$48:$AN$84,MATCH(ΥΠΟΛΟΓΙΣΜΟΙ!BK58,pin!$V$48:$V$84,0),MATCH(ΥΠΟΛΟΓΙΣΜΟΙ!AW58,pin!$X$47:$AN$47,0))+0.4*(BK58-AG58)*(INDEX(pin!$X$48:$AN$84,MATCH(ΥΠΟΛΟΓΙΣΜΟΙ!BK58,pin!$V$48:$V$84,0),MATCH(ΥΠΟΛΟΓΙΣΜΟΙ!AW58,pin!$X$47:$AN$47,0))-INDEX(pin!$X$48:$AN$84,MATCH(ΥΠΟΛΟΓΙΣΜΟΙ!BL58,pin!$V$48:$V$84,0),MATCH(ΥΠΟΛΟΓΙΣΜΟΙ!AW58,pin!$X$47:$AN$47,0)))</f>
        <v>1</v>
      </c>
      <c r="BN58" s="492">
        <f>INDEX(pin!$X$48:$AN$84,MATCH(ΥΠΟΛΟΓΙΣΜΟΙ!BK58,pin!$V$48:$V$84,0),MATCH(ΥΠΟΛΟΓΙΣΜΟΙ!AX58,pin!$X$47:$AN$47,0))+0.4*(BK58-AG58)*(INDEX(pin!$X$48:$AN$84,MATCH(ΥΠΟΛΟΓΙΣΜΟΙ!BK58,pin!$V$48:$V$84,0),MATCH(ΥΠΟΛΟΓΙΣΜΟΙ!AX58,pin!$X$47:$AN$47,0))-INDEX(pin!$X$48:$AN$84,MATCH(ΥΠΟΛΟΓΙΣΜΟΙ!BL58,pin!$V$48:$V$84,0),MATCH(ΥΠΟΛΟΓΙΣΜΟΙ!AX58,pin!$X$47:$AN$47,0)))</f>
        <v>1</v>
      </c>
      <c r="BO58" s="493">
        <f t="shared" ref="BO58:BO62" si="185">IF(MROUND(AH58,5)-AH58&lt;=0,MROUND(AH58,5),MROUND(AH58,5)-5)</f>
        <v>0</v>
      </c>
      <c r="BP58" s="491">
        <f t="shared" ref="BP58:BP62" si="186">IF(MROUND(AH58,5)-AH58=0,MROUND(AH58,5),BO58+5)</f>
        <v>0</v>
      </c>
      <c r="BQ58" s="491">
        <f>INDEX(pin!$D$114:$T$132,MATCH(ΥΠΟΛΟΓΙΣΜΟΙ!BO58,pin!$B$114:$B$132,0),MATCH(ΥΠΟΛΟΓΙΣΜΟΙ!AW58,pin!$D$113:$T$113,0))+0.2*(BO58-AH58)*(INDEX(pin!$D$114:$T$132,MATCH(ΥΠΟΛΟΓΙΣΜΟΙ!BO58,pin!$B$114:$B$132,0),MATCH(ΥΠΟΛΟΓΙΣΜΟΙ!AW58,pin!$D$113:$T$113,0))-INDEX(pin!$D$114:$T$132,MATCH(ΥΠΟΛΟΓΙΣΜΟΙ!BP58,pin!$B$114:$B$132,0),MATCH(ΥΠΟΛΟΓΙΣΜΟΙ!AW58,pin!$D$113:$T$113,0)))</f>
        <v>1</v>
      </c>
      <c r="BR58" s="491">
        <f>INDEX(pin!$D$114:$T$132,MATCH(ΥΠΟΛΟΓΙΣΜΟΙ!BO58,pin!$B$114:$B$132,0),MATCH(ΥΠΟΛΟΓΙΣΜΟΙ!AX58,pin!$D$113:$T$113,0))+0.2*(BO58-AH58)*(INDEX(pin!$D$114:$T$132,MATCH(ΥΠΟΛΟΓΙΣΜΟΙ!BO58,pin!$B$114:$B$132,0),MATCH(ΥΠΟΛΟΓΙΣΜΟΙ!AX58,pin!$D$113:$T$113,0))-INDEX(pin!$D$114:$T$132,MATCH(ΥΠΟΛΟΓΙΣΜΟΙ!BP58,pin!$B$114:$B$132,0),MATCH(ΥΠΟΛΟΓΙΣΜΟΙ!AX58,pin!$D$113:$T$113,0)))</f>
        <v>1</v>
      </c>
      <c r="BS58" s="493">
        <f>INDEX(pin!$X$114:$AN$132,MATCH(ΥΠΟΛΟΓΙΣΜΟΙ!BO58,pin!$V$114:$V$132,0),MATCH(ΥΠΟΛΟΓΙΣΜΟΙ!AW58,pin!$X$113:$AN$113,0))+0.2*(BO58-AH58)*(INDEX(pin!$X$114:$AN$132,MATCH(ΥΠΟΛΟΓΙΣΜΟΙ!BO58,pin!$V$114:$V$132,0),MATCH(ΥΠΟΛΟΓΙΣΜΟΙ!AW58,pin!$X$113:$AN$113,0))-INDEX(pin!$X$114:$AN$132,MATCH(ΥΠΟΛΟΓΙΣΜΟΙ!BP58,pin!$V$114:$V$132,0),MATCH(ΥΠΟΛΟΓΙΣΜΟΙ!AW58,pin!$X$113:$AN$113,0)))</f>
        <v>1</v>
      </c>
      <c r="BT58" s="492">
        <f>INDEX(pin!$X$114:$AN$132,MATCH(ΥΠΟΛΟΓΙΣΜΟΙ!BO58,pin!$V$114:$V$132,0),MATCH(ΥΠΟΛΟΓΙΣΜΟΙ!AX58,pin!$X$113:$AN$113,0))+0.2*(BO58-AH58)*(INDEX(pin!$X$114:$AN$132,MATCH(ΥΠΟΛΟΓΙΣΜΟΙ!BO58,pin!$V$114:$V$132,0),MATCH(ΥΠΟΛΟΓΙΣΜΟΙ!AX58,pin!$X$113:$AN$113,0))-INDEX(pin!$X$114:$AN$132,MATCH(ΥΠΟΛΟΓΙΣΜΟΙ!BP58,pin!$V$114:$V$132,0),MATCH(ΥΠΟΛΟΓΙΣΜΟΙ!AX58,pin!$X$113:$AN$113,0)))</f>
        <v>1</v>
      </c>
      <c r="BU58" s="493">
        <f t="shared" ref="BU58:BU62" si="187">IF(MROUND(AI58,5)-AI58&lt;=0,MROUND(AI58,5),MROUND(AI58,5)-5)</f>
        <v>0</v>
      </c>
      <c r="BV58" s="491">
        <f t="shared" ref="BV58:BV62" si="188">IF(MROUND(AI58,5)-AI58=0,MROUND(AI58,5),BU58+5)</f>
        <v>0</v>
      </c>
      <c r="BW58" s="491">
        <f>INDEX(pin!$D$90:$T$108,MATCH(ΥΠΟΛΟΓΙΣΜΟΙ!BU58,pin!$B$90:$B$108,0),MATCH(ΥΠΟΛΟΓΙΣΜΟΙ!AW58,pin!$D$89:$T$89,0))+0.2*(BU58-AI58)*(INDEX(pin!$D$90:$T$108,MATCH(ΥΠΟΛΟΓΙΣΜΟΙ!BU58,pin!$B$90:$B$108,0),MATCH(ΥΠΟΛΟΓΙΣΜΟΙ!AW58,pin!$D$89:$T$89,0))-INDEX(pin!$D$90:$T$108,MATCH(ΥΠΟΛΟΓΙΣΜΟΙ!BV58,pin!$B$90:$B$108,0),MATCH(ΥΠΟΛΟΓΙΣΜΟΙ!AW58,pin!$D$89:$T$89,0)))</f>
        <v>1</v>
      </c>
      <c r="BX58" s="492">
        <f>INDEX(pin!$D$90:$T$108,MATCH(ΥΠΟΛΟΓΙΣΜΟΙ!BU58,pin!$B$90:$B$108,0),MATCH(ΥΠΟΛΟΓΙΣΜΟΙ!AX58,pin!$D$89:$T$89,0))+0.2*(BU58-AI58)*(INDEX(pin!$D$90:$T$108,MATCH(ΥΠΟΛΟΓΙΣΜΟΙ!BU58,pin!$B$90:$B$108,0),MATCH(ΥΠΟΛΟΓΙΣΜΟΙ!AX58,pin!$D$89:$T$89,0))-INDEX(pin!$D$90:$T$108,MATCH(ΥΠΟΛΟΓΙΣΜΟΙ!BV58,pin!$B$90:$B$108,0),MATCH(ΥΠΟΛΟΓΙΣΜΟΙ!AX58,pin!$D$89:$T$89,0)))</f>
        <v>1</v>
      </c>
      <c r="BY58" s="491">
        <f>INDEX(pin!$X$90:$AN$108,MATCH(ΥΠΟΛΟΓΙΣΜΟΙ!BU58,pin!$V$90:$V$108,0),MATCH(ΥΠΟΛΟΓΙΣΜΟΙ!AW58,pin!$X$89:$AN$89,0))+0.2*(BU58-AI58)*(INDEX(pin!$X$90:$AN$108,MATCH(ΥΠΟΛΟΓΙΣΜΟΙ!BU58,pin!$V$90:$V$108,0),MATCH(ΥΠΟΛΟΓΙΣΜΟΙ!AW58,pin!$X$89:$AN$89,0))-INDEX(pin!$X$90:$AN$108,MATCH(ΥΠΟΛΟΓΙΣΜΟΙ!BV58,pin!$V$90:$V$108,0),MATCH(ΥΠΟΛΟΓΙΣΜΟΙ!AW58,pin!$X$89:$AN$89,0)))</f>
        <v>1</v>
      </c>
      <c r="BZ58" s="492">
        <f>INDEX(pin!$X$90:$AN$108,MATCH(ΥΠΟΛΟΓΙΣΜΟΙ!BU58,pin!$V$90:$V$108,0),MATCH(ΥΠΟΛΟΓΙΣΜΟΙ!AX58,pin!$X$89:$AN$89,0))+0.2*(BU58-AI58)*(INDEX(pin!$X$90:$AN$108,MATCH(ΥΠΟΛΟΓΙΣΜΟΙ!BU58,pin!$V$90:$V$108,0),MATCH(ΥΠΟΛΟΓΙΣΜΟΙ!AX58,pin!$X$89:$AN$89,0))-INDEX(pin!$X$90:$AN$108,MATCH(ΥΠΟΛΟΓΙΣΜΟΙ!BV58,pin!$V$90:$V$108,0),MATCH(ΥΠΟΛΟΓΙΣΜΟΙ!AX58,pin!$X$89:$AN$89,0)))</f>
        <v>1</v>
      </c>
      <c r="CA58" s="189"/>
    </row>
    <row r="59" spans="1:119" s="34" customFormat="1">
      <c r="A59" s="490">
        <v>14</v>
      </c>
      <c r="B59" s="118"/>
      <c r="C59" s="116"/>
      <c r="D59" s="116"/>
      <c r="E59" s="116"/>
      <c r="F59" s="47" t="str">
        <f t="shared" si="157"/>
        <v>-</v>
      </c>
      <c r="G59" s="81" t="str">
        <f t="shared" si="158"/>
        <v>-</v>
      </c>
      <c r="H59" s="235"/>
      <c r="I59" s="119"/>
      <c r="J59" s="269" t="s">
        <v>607</v>
      </c>
      <c r="K59" s="123"/>
      <c r="L59" s="387"/>
      <c r="M59" s="560" t="s">
        <v>670</v>
      </c>
      <c r="N59" s="561"/>
      <c r="O59" s="46">
        <f t="shared" si="159"/>
        <v>1</v>
      </c>
      <c r="P59" s="120">
        <f t="shared" si="160"/>
        <v>1</v>
      </c>
      <c r="Q59" s="46">
        <f t="shared" si="161"/>
        <v>1</v>
      </c>
      <c r="R59" s="120">
        <f t="shared" si="162"/>
        <v>1</v>
      </c>
      <c r="S59" s="46">
        <f t="shared" si="163"/>
        <v>1</v>
      </c>
      <c r="T59" s="120">
        <f t="shared" si="164"/>
        <v>1</v>
      </c>
      <c r="U59" s="499"/>
      <c r="V59" s="124" t="str">
        <f t="shared" si="165"/>
        <v>-</v>
      </c>
      <c r="W59" s="116"/>
      <c r="X59" s="124" t="str">
        <f t="shared" si="166"/>
        <v>-</v>
      </c>
      <c r="Y59" s="499"/>
      <c r="Z59" s="122"/>
      <c r="AA59" s="116"/>
      <c r="AB59" s="116"/>
      <c r="AC59" s="499"/>
      <c r="AD59" s="117"/>
      <c r="AE59" s="204">
        <f t="shared" si="167"/>
        <v>0</v>
      </c>
      <c r="AF59" s="180">
        <f t="shared" si="168"/>
        <v>0</v>
      </c>
      <c r="AG59" s="495">
        <f t="shared" si="169"/>
        <v>0</v>
      </c>
      <c r="AH59" s="180">
        <f t="shared" si="170"/>
        <v>0</v>
      </c>
      <c r="AI59" s="180">
        <f t="shared" si="171"/>
        <v>0</v>
      </c>
      <c r="AJ59" s="494">
        <f t="shared" si="172"/>
        <v>1</v>
      </c>
      <c r="AK59" s="494">
        <f t="shared" si="173"/>
        <v>1</v>
      </c>
      <c r="AL59" s="494">
        <f t="shared" si="174"/>
        <v>1</v>
      </c>
      <c r="AM59" s="494">
        <f t="shared" si="175"/>
        <v>1</v>
      </c>
      <c r="AN59" s="493">
        <f t="shared" si="176"/>
        <v>0</v>
      </c>
      <c r="AO59" s="491"/>
      <c r="AP59" s="491"/>
      <c r="AQ59" s="491"/>
      <c r="AR59" s="491"/>
      <c r="AS59" s="491"/>
      <c r="AT59" s="491"/>
      <c r="AU59" s="491"/>
      <c r="AV59" s="491" t="s">
        <v>256</v>
      </c>
      <c r="AW59" s="491">
        <f t="shared" si="177"/>
        <v>0</v>
      </c>
      <c r="AX59" s="492">
        <f t="shared" si="178"/>
        <v>0</v>
      </c>
      <c r="AY59" s="493">
        <f t="shared" si="179"/>
        <v>0</v>
      </c>
      <c r="AZ59" s="491">
        <f t="shared" si="180"/>
        <v>0</v>
      </c>
      <c r="BA59" s="491">
        <f>INDEX(pin!$D$6:$T$42,MATCH(ΥΠΟΛΟΓΙΣΜΟΙ!AY59,pin!$B$6:$B$42,0),MATCH(ΥΠΟΛΟΓΙΣΜΟΙ!AW59,pin!$D$5:$T$5,0))+0.4*(AY59-AE59)*(INDEX(pin!$D$6:$T$42,MATCH(ΥΠΟΛΟΓΙΣΜΟΙ!AY59,pin!$B$6:$B$42,0),MATCH(ΥΠΟΛΟΓΙΣΜΟΙ!AW59,pin!$D$5:$T$5,0))-INDEX(pin!$D$6:$T$42,MATCH(ΥΠΟΛΟΓΙΣΜΟΙ!AZ59,pin!$B$6:$B$42,0),MATCH(ΥΠΟΛΟΓΙΣΜΟΙ!AW59,pin!$D$5:$T$5,0)))</f>
        <v>1</v>
      </c>
      <c r="BB59" s="492">
        <f>INDEX(pin!$D$6:$T$42,MATCH(ΥΠΟΛΟΓΙΣΜΟΙ!AY59,pin!$B$6:$B$42,0),MATCH(ΥΠΟΛΟΓΙΣΜΟΙ!AX59,pin!$D$5:$T$5,0))+0.4*(AY59-AE59)*(INDEX(pin!$D$6:$T$42,MATCH(ΥΠΟΛΟΓΙΣΜΟΙ!AY59,pin!$B$6:$B$42,0),MATCH(ΥΠΟΛΟΓΙΣΜΟΙ!AX59,pin!$D$5:$T$5,0))-INDEX(pin!$D$6:$T$42,MATCH(ΥΠΟΛΟΓΙΣΜΟΙ!AZ59,pin!$B$6:$B$42,0),MATCH(ΥΠΟΛΟΓΙΣΜΟΙ!AX59,pin!$D$5:$T$5,0)))</f>
        <v>1</v>
      </c>
      <c r="BC59" s="491">
        <f>INDEX(pin!$X$6:$AN$42,MATCH(ΥΠΟΛΟΓΙΣΜΟΙ!AY59,pin!$V$6:$V$42,0),MATCH(ΥΠΟΛΟΓΙΣΜΟΙ!AW59,pin!$X$5:$AN$5,0))+0.4*(AY59-AE59)*(INDEX(pin!$X$6:$AN$42,MATCH(ΥΠΟΛΟΓΙΣΜΟΙ!AY59,pin!$V$6:$V$42,0),MATCH(ΥΠΟΛΟΓΙΣΜΟΙ!AW59,pin!$X$5:$AN$5,0))-INDEX(pin!$X$6:$AN$42,MATCH(ΥΠΟΛΟΓΙΣΜΟΙ!AZ59,pin!$V$6:$V$42,0),MATCH(ΥΠΟΛΟΓΙΣΜΟΙ!AW59,pin!$X$5:$AN$5,0)))</f>
        <v>1</v>
      </c>
      <c r="BD59" s="491">
        <f>INDEX(pin!$X$6:$AN$42,MATCH(ΥΠΟΛΟΓΙΣΜΟΙ!AY59,pin!$V$6:$V$42,0),MATCH(ΥΠΟΛΟΓΙΣΜΟΙ!AX59,pin!$X$5:$AN$5,0))+0.4*(AY59-AE59)*(INDEX(pin!$X$6:$AN$42,MATCH(ΥΠΟΛΟΓΙΣΜΟΙ!AY59,pin!$V$6:$V$42,0),MATCH(ΥΠΟΛΟΓΙΣΜΟΙ!AX59,pin!$X$5:$AN$5,0))-INDEX(pin!$X$6:$AN$42,MATCH(ΥΠΟΛΟΓΙΣΜΟΙ!AZ59,pin!$V$6:$V$42,0),MATCH(ΥΠΟΛΟΓΙΣΜΟΙ!AX59,pin!$X$5:$AN$5,0)))</f>
        <v>1</v>
      </c>
      <c r="BE59" s="493">
        <f t="shared" si="181"/>
        <v>0</v>
      </c>
      <c r="BF59" s="491">
        <f t="shared" si="182"/>
        <v>0</v>
      </c>
      <c r="BG59" s="491">
        <f>INDEX(pin!$D$48:$T$84,MATCH(ΥΠΟΛΟΓΙΣΜΟΙ!BE59,pin!$B$48:$B$84,0),MATCH(ΥΠΟΛΟΓΙΣΜΟΙ!AW59,pin!$D$47:$T$47,0))+0.4*(BE59-AF59)*(INDEX(pin!$D$48:$T$84,MATCH(ΥΠΟΛΟΓΙΣΜΟΙ!BE59,pin!$B$48:$B$84,0),MATCH(ΥΠΟΛΟΓΙΣΜΟΙ!AW59,pin!$D$47:$T$47,0))-INDEX(pin!$D$48:$T$84,MATCH(ΥΠΟΛΟΓΙΣΜΟΙ!BF59,pin!$B$48:$B$84,0),MATCH(ΥΠΟΛΟΓΙΣΜΟΙ!AW59,pin!$D$47:$T$47,0)))</f>
        <v>1</v>
      </c>
      <c r="BH59" s="491">
        <f>INDEX(pin!$D$48:$T$84,MATCH(ΥΠΟΛΟΓΙΣΜΟΙ!BE59,pin!$B$48:$B$84,0),MATCH(ΥΠΟΛΟΓΙΣΜΟΙ!AX59,pin!$D$47:$T$47,0))+0.4*(BE59-AF59)*(INDEX(pin!$D$48:$T$84,MATCH(ΥΠΟΛΟΓΙΣΜΟΙ!BE59,pin!$B$48:$B$84,0),MATCH(ΥΠΟΛΟΓΙΣΜΟΙ!AX59,pin!$D$47:$T$47,0))-INDEX(pin!$D$48:$T$84,MATCH(ΥΠΟΛΟΓΙΣΜΟΙ!BF59,pin!$B$48:$B$84,0),MATCH(ΥΠΟΛΟΓΙΣΜΟΙ!AX59,pin!$D$47:$T$47,0)))</f>
        <v>1</v>
      </c>
      <c r="BI59" s="493">
        <f>INDEX(pin!$X$48:$AN$84,MATCH(ΥΠΟΛΟΓΙΣΜΟΙ!BE59,pin!$V$48:$V$84,0),MATCH(ΥΠΟΛΟΓΙΣΜΟΙ!AW59,pin!$X$47:$AN$47,0))+0.4*(BE59-AF59)*(INDEX(pin!$X$48:$AN$84,MATCH(ΥΠΟΛΟΓΙΣΜΟΙ!BE59,pin!$V$48:$V$84,0),MATCH(ΥΠΟΛΟΓΙΣΜΟΙ!AW59,pin!$X$47:$AN$47,0))-INDEX(pin!$X$48:$AN$84,MATCH(ΥΠΟΛΟΓΙΣΜΟΙ!BF59,pin!$V$48:$V$84,0),MATCH(ΥΠΟΛΟΓΙΣΜΟΙ!AW59,pin!$X$47:$AN$47,0)))</f>
        <v>1</v>
      </c>
      <c r="BJ59" s="492">
        <f>INDEX(pin!$X$48:$AN$84,MATCH(ΥΠΟΛΟΓΙΣΜΟΙ!BE59,pin!$V$48:$V$84,0),MATCH(ΥΠΟΛΟΓΙΣΜΟΙ!AX59,pin!$X$47:$AN$47,0))+0.4*(BE59-AF59)*(INDEX(pin!$X$48:$AN$84,MATCH(ΥΠΟΛΟΓΙΣΜΟΙ!BE59,pin!$V$48:$V$84,0),MATCH(ΥΠΟΛΟΓΙΣΜΟΙ!AX59,pin!$X$47:$AN$47,0))-INDEX(pin!$X$48:$AN$84,MATCH(ΥΠΟΛΟΓΙΣΜΟΙ!BF59,pin!$V$48:$V$84,0),MATCH(ΥΠΟΛΟΓΙΣΜΟΙ!AX59,pin!$X$47:$AN$47,0)))</f>
        <v>1</v>
      </c>
      <c r="BK59" s="493">
        <f t="shared" si="183"/>
        <v>0</v>
      </c>
      <c r="BL59" s="491">
        <f t="shared" si="184"/>
        <v>0</v>
      </c>
      <c r="BM59" s="491">
        <f>INDEX(pin!$X$48:$AN$84,MATCH(ΥΠΟΛΟΓΙΣΜΟΙ!BK59,pin!$V$48:$V$84,0),MATCH(ΥΠΟΛΟΓΙΣΜΟΙ!AW59,pin!$X$47:$AN$47,0))+0.4*(BK59-AG59)*(INDEX(pin!$X$48:$AN$84,MATCH(ΥΠΟΛΟΓΙΣΜΟΙ!BK59,pin!$V$48:$V$84,0),MATCH(ΥΠΟΛΟΓΙΣΜΟΙ!AW59,pin!$X$47:$AN$47,0))-INDEX(pin!$X$48:$AN$84,MATCH(ΥΠΟΛΟΓΙΣΜΟΙ!BL59,pin!$V$48:$V$84,0),MATCH(ΥΠΟΛΟΓΙΣΜΟΙ!AW59,pin!$X$47:$AN$47,0)))</f>
        <v>1</v>
      </c>
      <c r="BN59" s="492">
        <f>INDEX(pin!$X$48:$AN$84,MATCH(ΥΠΟΛΟΓΙΣΜΟΙ!BK59,pin!$V$48:$V$84,0),MATCH(ΥΠΟΛΟΓΙΣΜΟΙ!AX59,pin!$X$47:$AN$47,0))+0.4*(BK59-AG59)*(INDEX(pin!$X$48:$AN$84,MATCH(ΥΠΟΛΟΓΙΣΜΟΙ!BK59,pin!$V$48:$V$84,0),MATCH(ΥΠΟΛΟΓΙΣΜΟΙ!AX59,pin!$X$47:$AN$47,0))-INDEX(pin!$X$48:$AN$84,MATCH(ΥΠΟΛΟΓΙΣΜΟΙ!BL59,pin!$V$48:$V$84,0),MATCH(ΥΠΟΛΟΓΙΣΜΟΙ!AX59,pin!$X$47:$AN$47,0)))</f>
        <v>1</v>
      </c>
      <c r="BO59" s="493">
        <f t="shared" si="185"/>
        <v>0</v>
      </c>
      <c r="BP59" s="491">
        <f t="shared" si="186"/>
        <v>0</v>
      </c>
      <c r="BQ59" s="491">
        <f>INDEX(pin!$D$114:$T$132,MATCH(ΥΠΟΛΟΓΙΣΜΟΙ!BO59,pin!$B$114:$B$132,0),MATCH(ΥΠΟΛΟΓΙΣΜΟΙ!AW59,pin!$D$113:$T$113,0))+0.2*(BO59-AH59)*(INDEX(pin!$D$114:$T$132,MATCH(ΥΠΟΛΟΓΙΣΜΟΙ!BO59,pin!$B$114:$B$132,0),MATCH(ΥΠΟΛΟΓΙΣΜΟΙ!AW59,pin!$D$113:$T$113,0))-INDEX(pin!$D$114:$T$132,MATCH(ΥΠΟΛΟΓΙΣΜΟΙ!BP59,pin!$B$114:$B$132,0),MATCH(ΥΠΟΛΟΓΙΣΜΟΙ!AW59,pin!$D$113:$T$113,0)))</f>
        <v>1</v>
      </c>
      <c r="BR59" s="491">
        <f>INDEX(pin!$D$114:$T$132,MATCH(ΥΠΟΛΟΓΙΣΜΟΙ!BO59,pin!$B$114:$B$132,0),MATCH(ΥΠΟΛΟΓΙΣΜΟΙ!AX59,pin!$D$113:$T$113,0))+0.2*(BO59-AH59)*(INDEX(pin!$D$114:$T$132,MATCH(ΥΠΟΛΟΓΙΣΜΟΙ!BO59,pin!$B$114:$B$132,0),MATCH(ΥΠΟΛΟΓΙΣΜΟΙ!AX59,pin!$D$113:$T$113,0))-INDEX(pin!$D$114:$T$132,MATCH(ΥΠΟΛΟΓΙΣΜΟΙ!BP59,pin!$B$114:$B$132,0),MATCH(ΥΠΟΛΟΓΙΣΜΟΙ!AX59,pin!$D$113:$T$113,0)))</f>
        <v>1</v>
      </c>
      <c r="BS59" s="493">
        <f>INDEX(pin!$X$114:$AN$132,MATCH(ΥΠΟΛΟΓΙΣΜΟΙ!BO59,pin!$V$114:$V$132,0),MATCH(ΥΠΟΛΟΓΙΣΜΟΙ!AW59,pin!$X$113:$AN$113,0))+0.2*(BO59-AH59)*(INDEX(pin!$X$114:$AN$132,MATCH(ΥΠΟΛΟΓΙΣΜΟΙ!BO59,pin!$V$114:$V$132,0),MATCH(ΥΠΟΛΟΓΙΣΜΟΙ!AW59,pin!$X$113:$AN$113,0))-INDEX(pin!$X$114:$AN$132,MATCH(ΥΠΟΛΟΓΙΣΜΟΙ!BP59,pin!$V$114:$V$132,0),MATCH(ΥΠΟΛΟΓΙΣΜΟΙ!AW59,pin!$X$113:$AN$113,0)))</f>
        <v>1</v>
      </c>
      <c r="BT59" s="492">
        <f>INDEX(pin!$X$114:$AN$132,MATCH(ΥΠΟΛΟΓΙΣΜΟΙ!BO59,pin!$V$114:$V$132,0),MATCH(ΥΠΟΛΟΓΙΣΜΟΙ!AX59,pin!$X$113:$AN$113,0))+0.2*(BO59-AH59)*(INDEX(pin!$X$114:$AN$132,MATCH(ΥΠΟΛΟΓΙΣΜΟΙ!BO59,pin!$V$114:$V$132,0),MATCH(ΥΠΟΛΟΓΙΣΜΟΙ!AX59,pin!$X$113:$AN$113,0))-INDEX(pin!$X$114:$AN$132,MATCH(ΥΠΟΛΟΓΙΣΜΟΙ!BP59,pin!$V$114:$V$132,0),MATCH(ΥΠΟΛΟΓΙΣΜΟΙ!AX59,pin!$X$113:$AN$113,0)))</f>
        <v>1</v>
      </c>
      <c r="BU59" s="493">
        <f t="shared" si="187"/>
        <v>0</v>
      </c>
      <c r="BV59" s="491">
        <f t="shared" si="188"/>
        <v>0</v>
      </c>
      <c r="BW59" s="491">
        <f>INDEX(pin!$D$90:$T$108,MATCH(ΥΠΟΛΟΓΙΣΜΟΙ!BU59,pin!$B$90:$B$108,0),MATCH(ΥΠΟΛΟΓΙΣΜΟΙ!AW59,pin!$D$89:$T$89,0))+0.2*(BU59-AI59)*(INDEX(pin!$D$90:$T$108,MATCH(ΥΠΟΛΟΓΙΣΜΟΙ!BU59,pin!$B$90:$B$108,0),MATCH(ΥΠΟΛΟΓΙΣΜΟΙ!AW59,pin!$D$89:$T$89,0))-INDEX(pin!$D$90:$T$108,MATCH(ΥΠΟΛΟΓΙΣΜΟΙ!BV59,pin!$B$90:$B$108,0),MATCH(ΥΠΟΛΟΓΙΣΜΟΙ!AW59,pin!$D$89:$T$89,0)))</f>
        <v>1</v>
      </c>
      <c r="BX59" s="492">
        <f>INDEX(pin!$D$90:$T$108,MATCH(ΥΠΟΛΟΓΙΣΜΟΙ!BU59,pin!$B$90:$B$108,0),MATCH(ΥΠΟΛΟΓΙΣΜΟΙ!AX59,pin!$D$89:$T$89,0))+0.2*(BU59-AI59)*(INDEX(pin!$D$90:$T$108,MATCH(ΥΠΟΛΟΓΙΣΜΟΙ!BU59,pin!$B$90:$B$108,0),MATCH(ΥΠΟΛΟΓΙΣΜΟΙ!AX59,pin!$D$89:$T$89,0))-INDEX(pin!$D$90:$T$108,MATCH(ΥΠΟΛΟΓΙΣΜΟΙ!BV59,pin!$B$90:$B$108,0),MATCH(ΥΠΟΛΟΓΙΣΜΟΙ!AX59,pin!$D$89:$T$89,0)))</f>
        <v>1</v>
      </c>
      <c r="BY59" s="491">
        <f>INDEX(pin!$X$90:$AN$108,MATCH(ΥΠΟΛΟΓΙΣΜΟΙ!BU59,pin!$V$90:$V$108,0),MATCH(ΥΠΟΛΟΓΙΣΜΟΙ!AW59,pin!$X$89:$AN$89,0))+0.2*(BU59-AI59)*(INDEX(pin!$X$90:$AN$108,MATCH(ΥΠΟΛΟΓΙΣΜΟΙ!BU59,pin!$V$90:$V$108,0),MATCH(ΥΠΟΛΟΓΙΣΜΟΙ!AW59,pin!$X$89:$AN$89,0))-INDEX(pin!$X$90:$AN$108,MATCH(ΥΠΟΛΟΓΙΣΜΟΙ!BV59,pin!$V$90:$V$108,0),MATCH(ΥΠΟΛΟΓΙΣΜΟΙ!AW59,pin!$X$89:$AN$89,0)))</f>
        <v>1</v>
      </c>
      <c r="BZ59" s="492">
        <f>INDEX(pin!$X$90:$AN$108,MATCH(ΥΠΟΛΟΓΙΣΜΟΙ!BU59,pin!$V$90:$V$108,0),MATCH(ΥΠΟΛΟΓΙΣΜΟΙ!AX59,pin!$X$89:$AN$89,0))+0.2*(BU59-AI59)*(INDEX(pin!$X$90:$AN$108,MATCH(ΥΠΟΛΟΓΙΣΜΟΙ!BU59,pin!$V$90:$V$108,0),MATCH(ΥΠΟΛΟΓΙΣΜΟΙ!AX59,pin!$X$89:$AN$89,0))-INDEX(pin!$X$90:$AN$108,MATCH(ΥΠΟΛΟΓΙΣΜΟΙ!BV59,pin!$V$90:$V$108,0),MATCH(ΥΠΟΛΟΓΙΣΜΟΙ!AX59,pin!$X$89:$AN$89,0)))</f>
        <v>1</v>
      </c>
      <c r="CA59" s="189"/>
    </row>
    <row r="60" spans="1:119" s="34" customFormat="1">
      <c r="A60" s="490">
        <v>15</v>
      </c>
      <c r="B60" s="118"/>
      <c r="C60" s="116"/>
      <c r="D60" s="116"/>
      <c r="E60" s="116"/>
      <c r="F60" s="47" t="str">
        <f t="shared" si="157"/>
        <v>-</v>
      </c>
      <c r="G60" s="81" t="str">
        <f t="shared" si="158"/>
        <v>-</v>
      </c>
      <c r="H60" s="235"/>
      <c r="I60" s="119"/>
      <c r="J60" s="269" t="s">
        <v>607</v>
      </c>
      <c r="K60" s="123"/>
      <c r="L60" s="387"/>
      <c r="M60" s="560" t="s">
        <v>670</v>
      </c>
      <c r="N60" s="561"/>
      <c r="O60" s="46">
        <f t="shared" si="159"/>
        <v>1</v>
      </c>
      <c r="P60" s="120">
        <f t="shared" si="160"/>
        <v>1</v>
      </c>
      <c r="Q60" s="46">
        <f t="shared" si="161"/>
        <v>1</v>
      </c>
      <c r="R60" s="120">
        <f t="shared" si="162"/>
        <v>1</v>
      </c>
      <c r="S60" s="46">
        <f t="shared" si="163"/>
        <v>1</v>
      </c>
      <c r="T60" s="120">
        <f t="shared" si="164"/>
        <v>1</v>
      </c>
      <c r="U60" s="499"/>
      <c r="V60" s="124" t="str">
        <f t="shared" si="165"/>
        <v>-</v>
      </c>
      <c r="W60" s="116"/>
      <c r="X60" s="124" t="str">
        <f t="shared" si="166"/>
        <v>-</v>
      </c>
      <c r="Y60" s="499"/>
      <c r="Z60" s="122"/>
      <c r="AA60" s="116"/>
      <c r="AB60" s="116"/>
      <c r="AC60" s="499"/>
      <c r="AD60" s="117"/>
      <c r="AE60" s="204">
        <f t="shared" si="167"/>
        <v>0</v>
      </c>
      <c r="AF60" s="180">
        <f t="shared" si="168"/>
        <v>0</v>
      </c>
      <c r="AG60" s="495">
        <f t="shared" si="169"/>
        <v>0</v>
      </c>
      <c r="AH60" s="180">
        <f t="shared" si="170"/>
        <v>0</v>
      </c>
      <c r="AI60" s="180">
        <f t="shared" si="171"/>
        <v>0</v>
      </c>
      <c r="AJ60" s="494">
        <f t="shared" si="172"/>
        <v>1</v>
      </c>
      <c r="AK60" s="494">
        <f t="shared" si="173"/>
        <v>1</v>
      </c>
      <c r="AL60" s="494">
        <f t="shared" si="174"/>
        <v>1</v>
      </c>
      <c r="AM60" s="494">
        <f t="shared" si="175"/>
        <v>1</v>
      </c>
      <c r="AN60" s="493">
        <f t="shared" si="176"/>
        <v>0</v>
      </c>
      <c r="AO60" s="491"/>
      <c r="AP60" s="491"/>
      <c r="AQ60" s="491"/>
      <c r="AR60" s="491"/>
      <c r="AS60" s="491"/>
      <c r="AT60" s="491"/>
      <c r="AU60" s="491"/>
      <c r="AV60" s="491" t="s">
        <v>256</v>
      </c>
      <c r="AW60" s="491">
        <f t="shared" si="177"/>
        <v>0</v>
      </c>
      <c r="AX60" s="492">
        <f t="shared" si="178"/>
        <v>0</v>
      </c>
      <c r="AY60" s="493">
        <f t="shared" si="179"/>
        <v>0</v>
      </c>
      <c r="AZ60" s="491">
        <f t="shared" si="180"/>
        <v>0</v>
      </c>
      <c r="BA60" s="491">
        <f>INDEX(pin!$D$6:$T$42,MATCH(ΥΠΟΛΟΓΙΣΜΟΙ!AY60,pin!$B$6:$B$42,0),MATCH(ΥΠΟΛΟΓΙΣΜΟΙ!AW60,pin!$D$5:$T$5,0))+0.4*(AY60-AE60)*(INDEX(pin!$D$6:$T$42,MATCH(ΥΠΟΛΟΓΙΣΜΟΙ!AY60,pin!$B$6:$B$42,0),MATCH(ΥΠΟΛΟΓΙΣΜΟΙ!AW60,pin!$D$5:$T$5,0))-INDEX(pin!$D$6:$T$42,MATCH(ΥΠΟΛΟΓΙΣΜΟΙ!AZ60,pin!$B$6:$B$42,0),MATCH(ΥΠΟΛΟΓΙΣΜΟΙ!AW60,pin!$D$5:$T$5,0)))</f>
        <v>1</v>
      </c>
      <c r="BB60" s="492">
        <f>INDEX(pin!$D$6:$T$42,MATCH(ΥΠΟΛΟΓΙΣΜΟΙ!AY60,pin!$B$6:$B$42,0),MATCH(ΥΠΟΛΟΓΙΣΜΟΙ!AX60,pin!$D$5:$T$5,0))+0.4*(AY60-AE60)*(INDEX(pin!$D$6:$T$42,MATCH(ΥΠΟΛΟΓΙΣΜΟΙ!AY60,pin!$B$6:$B$42,0),MATCH(ΥΠΟΛΟΓΙΣΜΟΙ!AX60,pin!$D$5:$T$5,0))-INDEX(pin!$D$6:$T$42,MATCH(ΥΠΟΛΟΓΙΣΜΟΙ!AZ60,pin!$B$6:$B$42,0),MATCH(ΥΠΟΛΟΓΙΣΜΟΙ!AX60,pin!$D$5:$T$5,0)))</f>
        <v>1</v>
      </c>
      <c r="BC60" s="491">
        <f>INDEX(pin!$X$6:$AN$42,MATCH(ΥΠΟΛΟΓΙΣΜΟΙ!AY60,pin!$V$6:$V$42,0),MATCH(ΥΠΟΛΟΓΙΣΜΟΙ!AW60,pin!$X$5:$AN$5,0))+0.4*(AY60-AE60)*(INDEX(pin!$X$6:$AN$42,MATCH(ΥΠΟΛΟΓΙΣΜΟΙ!AY60,pin!$V$6:$V$42,0),MATCH(ΥΠΟΛΟΓΙΣΜΟΙ!AW60,pin!$X$5:$AN$5,0))-INDEX(pin!$X$6:$AN$42,MATCH(ΥΠΟΛΟΓΙΣΜΟΙ!AZ60,pin!$V$6:$V$42,0),MATCH(ΥΠΟΛΟΓΙΣΜΟΙ!AW60,pin!$X$5:$AN$5,0)))</f>
        <v>1</v>
      </c>
      <c r="BD60" s="491">
        <f>INDEX(pin!$X$6:$AN$42,MATCH(ΥΠΟΛΟΓΙΣΜΟΙ!AY60,pin!$V$6:$V$42,0),MATCH(ΥΠΟΛΟΓΙΣΜΟΙ!AX60,pin!$X$5:$AN$5,0))+0.4*(AY60-AE60)*(INDEX(pin!$X$6:$AN$42,MATCH(ΥΠΟΛΟΓΙΣΜΟΙ!AY60,pin!$V$6:$V$42,0),MATCH(ΥΠΟΛΟΓΙΣΜΟΙ!AX60,pin!$X$5:$AN$5,0))-INDEX(pin!$X$6:$AN$42,MATCH(ΥΠΟΛΟΓΙΣΜΟΙ!AZ60,pin!$V$6:$V$42,0),MATCH(ΥΠΟΛΟΓΙΣΜΟΙ!AX60,pin!$X$5:$AN$5,0)))</f>
        <v>1</v>
      </c>
      <c r="BE60" s="493">
        <f t="shared" si="181"/>
        <v>0</v>
      </c>
      <c r="BF60" s="491">
        <f t="shared" si="182"/>
        <v>0</v>
      </c>
      <c r="BG60" s="491">
        <f>INDEX(pin!$D$48:$T$84,MATCH(ΥΠΟΛΟΓΙΣΜΟΙ!BE60,pin!$B$48:$B$84,0),MATCH(ΥΠΟΛΟΓΙΣΜΟΙ!AW60,pin!$D$47:$T$47,0))+0.4*(BE60-AF60)*(INDEX(pin!$D$48:$T$84,MATCH(ΥΠΟΛΟΓΙΣΜΟΙ!BE60,pin!$B$48:$B$84,0),MATCH(ΥΠΟΛΟΓΙΣΜΟΙ!AW60,pin!$D$47:$T$47,0))-INDEX(pin!$D$48:$T$84,MATCH(ΥΠΟΛΟΓΙΣΜΟΙ!BF60,pin!$B$48:$B$84,0),MATCH(ΥΠΟΛΟΓΙΣΜΟΙ!AW60,pin!$D$47:$T$47,0)))</f>
        <v>1</v>
      </c>
      <c r="BH60" s="491">
        <f>INDEX(pin!$D$48:$T$84,MATCH(ΥΠΟΛΟΓΙΣΜΟΙ!BE60,pin!$B$48:$B$84,0),MATCH(ΥΠΟΛΟΓΙΣΜΟΙ!AX60,pin!$D$47:$T$47,0))+0.4*(BE60-AF60)*(INDEX(pin!$D$48:$T$84,MATCH(ΥΠΟΛΟΓΙΣΜΟΙ!BE60,pin!$B$48:$B$84,0),MATCH(ΥΠΟΛΟΓΙΣΜΟΙ!AX60,pin!$D$47:$T$47,0))-INDEX(pin!$D$48:$T$84,MATCH(ΥΠΟΛΟΓΙΣΜΟΙ!BF60,pin!$B$48:$B$84,0),MATCH(ΥΠΟΛΟΓΙΣΜΟΙ!AX60,pin!$D$47:$T$47,0)))</f>
        <v>1</v>
      </c>
      <c r="BI60" s="493">
        <f>INDEX(pin!$X$48:$AN$84,MATCH(ΥΠΟΛΟΓΙΣΜΟΙ!BE60,pin!$V$48:$V$84,0),MATCH(ΥΠΟΛΟΓΙΣΜΟΙ!AW60,pin!$X$47:$AN$47,0))+0.4*(BE60-AF60)*(INDEX(pin!$X$48:$AN$84,MATCH(ΥΠΟΛΟΓΙΣΜΟΙ!BE60,pin!$V$48:$V$84,0),MATCH(ΥΠΟΛΟΓΙΣΜΟΙ!AW60,pin!$X$47:$AN$47,0))-INDEX(pin!$X$48:$AN$84,MATCH(ΥΠΟΛΟΓΙΣΜΟΙ!BF60,pin!$V$48:$V$84,0),MATCH(ΥΠΟΛΟΓΙΣΜΟΙ!AW60,pin!$X$47:$AN$47,0)))</f>
        <v>1</v>
      </c>
      <c r="BJ60" s="492">
        <f>INDEX(pin!$X$48:$AN$84,MATCH(ΥΠΟΛΟΓΙΣΜΟΙ!BE60,pin!$V$48:$V$84,0),MATCH(ΥΠΟΛΟΓΙΣΜΟΙ!AX60,pin!$X$47:$AN$47,0))+0.4*(BE60-AF60)*(INDEX(pin!$X$48:$AN$84,MATCH(ΥΠΟΛΟΓΙΣΜΟΙ!BE60,pin!$V$48:$V$84,0),MATCH(ΥΠΟΛΟΓΙΣΜΟΙ!AX60,pin!$X$47:$AN$47,0))-INDEX(pin!$X$48:$AN$84,MATCH(ΥΠΟΛΟΓΙΣΜΟΙ!BF60,pin!$V$48:$V$84,0),MATCH(ΥΠΟΛΟΓΙΣΜΟΙ!AX60,pin!$X$47:$AN$47,0)))</f>
        <v>1</v>
      </c>
      <c r="BK60" s="493">
        <f t="shared" si="183"/>
        <v>0</v>
      </c>
      <c r="BL60" s="491">
        <f t="shared" si="184"/>
        <v>0</v>
      </c>
      <c r="BM60" s="491">
        <f>INDEX(pin!$X$48:$AN$84,MATCH(ΥΠΟΛΟΓΙΣΜΟΙ!BK60,pin!$V$48:$V$84,0),MATCH(ΥΠΟΛΟΓΙΣΜΟΙ!AW60,pin!$X$47:$AN$47,0))+0.4*(BK60-AG60)*(INDEX(pin!$X$48:$AN$84,MATCH(ΥΠΟΛΟΓΙΣΜΟΙ!BK60,pin!$V$48:$V$84,0),MATCH(ΥΠΟΛΟΓΙΣΜΟΙ!AW60,pin!$X$47:$AN$47,0))-INDEX(pin!$X$48:$AN$84,MATCH(ΥΠΟΛΟΓΙΣΜΟΙ!BL60,pin!$V$48:$V$84,0),MATCH(ΥΠΟΛΟΓΙΣΜΟΙ!AW60,pin!$X$47:$AN$47,0)))</f>
        <v>1</v>
      </c>
      <c r="BN60" s="492">
        <f>INDEX(pin!$X$48:$AN$84,MATCH(ΥΠΟΛΟΓΙΣΜΟΙ!BK60,pin!$V$48:$V$84,0),MATCH(ΥΠΟΛΟΓΙΣΜΟΙ!AX60,pin!$X$47:$AN$47,0))+0.4*(BK60-AG60)*(INDEX(pin!$X$48:$AN$84,MATCH(ΥΠΟΛΟΓΙΣΜΟΙ!BK60,pin!$V$48:$V$84,0),MATCH(ΥΠΟΛΟΓΙΣΜΟΙ!AX60,pin!$X$47:$AN$47,0))-INDEX(pin!$X$48:$AN$84,MATCH(ΥΠΟΛΟΓΙΣΜΟΙ!BL60,pin!$V$48:$V$84,0),MATCH(ΥΠΟΛΟΓΙΣΜΟΙ!AX60,pin!$X$47:$AN$47,0)))</f>
        <v>1</v>
      </c>
      <c r="BO60" s="493">
        <f t="shared" si="185"/>
        <v>0</v>
      </c>
      <c r="BP60" s="491">
        <f t="shared" si="186"/>
        <v>0</v>
      </c>
      <c r="BQ60" s="491">
        <f>INDEX(pin!$D$114:$T$132,MATCH(ΥΠΟΛΟΓΙΣΜΟΙ!BO60,pin!$B$114:$B$132,0),MATCH(ΥΠΟΛΟΓΙΣΜΟΙ!AW60,pin!$D$113:$T$113,0))+0.2*(BO60-AH60)*(INDEX(pin!$D$114:$T$132,MATCH(ΥΠΟΛΟΓΙΣΜΟΙ!BO60,pin!$B$114:$B$132,0),MATCH(ΥΠΟΛΟΓΙΣΜΟΙ!AW60,pin!$D$113:$T$113,0))-INDEX(pin!$D$114:$T$132,MATCH(ΥΠΟΛΟΓΙΣΜΟΙ!BP60,pin!$B$114:$B$132,0),MATCH(ΥΠΟΛΟΓΙΣΜΟΙ!AW60,pin!$D$113:$T$113,0)))</f>
        <v>1</v>
      </c>
      <c r="BR60" s="491">
        <f>INDEX(pin!$D$114:$T$132,MATCH(ΥΠΟΛΟΓΙΣΜΟΙ!BO60,pin!$B$114:$B$132,0),MATCH(ΥΠΟΛΟΓΙΣΜΟΙ!AX60,pin!$D$113:$T$113,0))+0.2*(BO60-AH60)*(INDEX(pin!$D$114:$T$132,MATCH(ΥΠΟΛΟΓΙΣΜΟΙ!BO60,pin!$B$114:$B$132,0),MATCH(ΥΠΟΛΟΓΙΣΜΟΙ!AX60,pin!$D$113:$T$113,0))-INDEX(pin!$D$114:$T$132,MATCH(ΥΠΟΛΟΓΙΣΜΟΙ!BP60,pin!$B$114:$B$132,0),MATCH(ΥΠΟΛΟΓΙΣΜΟΙ!AX60,pin!$D$113:$T$113,0)))</f>
        <v>1</v>
      </c>
      <c r="BS60" s="493">
        <f>INDEX(pin!$X$114:$AN$132,MATCH(ΥΠΟΛΟΓΙΣΜΟΙ!BO60,pin!$V$114:$V$132,0),MATCH(ΥΠΟΛΟΓΙΣΜΟΙ!AW60,pin!$X$113:$AN$113,0))+0.2*(BO60-AH60)*(INDEX(pin!$X$114:$AN$132,MATCH(ΥΠΟΛΟΓΙΣΜΟΙ!BO60,pin!$V$114:$V$132,0),MATCH(ΥΠΟΛΟΓΙΣΜΟΙ!AW60,pin!$X$113:$AN$113,0))-INDEX(pin!$X$114:$AN$132,MATCH(ΥΠΟΛΟΓΙΣΜΟΙ!BP60,pin!$V$114:$V$132,0),MATCH(ΥΠΟΛΟΓΙΣΜΟΙ!AW60,pin!$X$113:$AN$113,0)))</f>
        <v>1</v>
      </c>
      <c r="BT60" s="492">
        <f>INDEX(pin!$X$114:$AN$132,MATCH(ΥΠΟΛΟΓΙΣΜΟΙ!BO60,pin!$V$114:$V$132,0),MATCH(ΥΠΟΛΟΓΙΣΜΟΙ!AX60,pin!$X$113:$AN$113,0))+0.2*(BO60-AH60)*(INDEX(pin!$X$114:$AN$132,MATCH(ΥΠΟΛΟΓΙΣΜΟΙ!BO60,pin!$V$114:$V$132,0),MATCH(ΥΠΟΛΟΓΙΣΜΟΙ!AX60,pin!$X$113:$AN$113,0))-INDEX(pin!$X$114:$AN$132,MATCH(ΥΠΟΛΟΓΙΣΜΟΙ!BP60,pin!$V$114:$V$132,0),MATCH(ΥΠΟΛΟΓΙΣΜΟΙ!AX60,pin!$X$113:$AN$113,0)))</f>
        <v>1</v>
      </c>
      <c r="BU60" s="493">
        <f t="shared" si="187"/>
        <v>0</v>
      </c>
      <c r="BV60" s="491">
        <f t="shared" si="188"/>
        <v>0</v>
      </c>
      <c r="BW60" s="491">
        <f>INDEX(pin!$D$90:$T$108,MATCH(ΥΠΟΛΟΓΙΣΜΟΙ!BU60,pin!$B$90:$B$108,0),MATCH(ΥΠΟΛΟΓΙΣΜΟΙ!AW60,pin!$D$89:$T$89,0))+0.2*(BU60-AI60)*(INDEX(pin!$D$90:$T$108,MATCH(ΥΠΟΛΟΓΙΣΜΟΙ!BU60,pin!$B$90:$B$108,0),MATCH(ΥΠΟΛΟΓΙΣΜΟΙ!AW60,pin!$D$89:$T$89,0))-INDEX(pin!$D$90:$T$108,MATCH(ΥΠΟΛΟΓΙΣΜΟΙ!BV60,pin!$B$90:$B$108,0),MATCH(ΥΠΟΛΟΓΙΣΜΟΙ!AW60,pin!$D$89:$T$89,0)))</f>
        <v>1</v>
      </c>
      <c r="BX60" s="492">
        <f>INDEX(pin!$D$90:$T$108,MATCH(ΥΠΟΛΟΓΙΣΜΟΙ!BU60,pin!$B$90:$B$108,0),MATCH(ΥΠΟΛΟΓΙΣΜΟΙ!AX60,pin!$D$89:$T$89,0))+0.2*(BU60-AI60)*(INDEX(pin!$D$90:$T$108,MATCH(ΥΠΟΛΟΓΙΣΜΟΙ!BU60,pin!$B$90:$B$108,0),MATCH(ΥΠΟΛΟΓΙΣΜΟΙ!AX60,pin!$D$89:$T$89,0))-INDEX(pin!$D$90:$T$108,MATCH(ΥΠΟΛΟΓΙΣΜΟΙ!BV60,pin!$B$90:$B$108,0),MATCH(ΥΠΟΛΟΓΙΣΜΟΙ!AX60,pin!$D$89:$T$89,0)))</f>
        <v>1</v>
      </c>
      <c r="BY60" s="491">
        <f>INDEX(pin!$X$90:$AN$108,MATCH(ΥΠΟΛΟΓΙΣΜΟΙ!BU60,pin!$V$90:$V$108,0),MATCH(ΥΠΟΛΟΓΙΣΜΟΙ!AW60,pin!$X$89:$AN$89,0))+0.2*(BU60-AI60)*(INDEX(pin!$X$90:$AN$108,MATCH(ΥΠΟΛΟΓΙΣΜΟΙ!BU60,pin!$V$90:$V$108,0),MATCH(ΥΠΟΛΟΓΙΣΜΟΙ!AW60,pin!$X$89:$AN$89,0))-INDEX(pin!$X$90:$AN$108,MATCH(ΥΠΟΛΟΓΙΣΜΟΙ!BV60,pin!$V$90:$V$108,0),MATCH(ΥΠΟΛΟΓΙΣΜΟΙ!AW60,pin!$X$89:$AN$89,0)))</f>
        <v>1</v>
      </c>
      <c r="BZ60" s="492">
        <f>INDEX(pin!$X$90:$AN$108,MATCH(ΥΠΟΛΟΓΙΣΜΟΙ!BU60,pin!$V$90:$V$108,0),MATCH(ΥΠΟΛΟΓΙΣΜΟΙ!AX60,pin!$X$89:$AN$89,0))+0.2*(BU60-AI60)*(INDEX(pin!$X$90:$AN$108,MATCH(ΥΠΟΛΟΓΙΣΜΟΙ!BU60,pin!$V$90:$V$108,0),MATCH(ΥΠΟΛΟΓΙΣΜΟΙ!AX60,pin!$X$89:$AN$89,0))-INDEX(pin!$X$90:$AN$108,MATCH(ΥΠΟΛΟΓΙΣΜΟΙ!BV60,pin!$V$90:$V$108,0),MATCH(ΥΠΟΛΟΓΙΣΜΟΙ!AX60,pin!$X$89:$AN$89,0)))</f>
        <v>1</v>
      </c>
      <c r="CA60" s="189"/>
    </row>
    <row r="61" spans="1:119" s="34" customFormat="1">
      <c r="A61" s="490">
        <v>16</v>
      </c>
      <c r="B61" s="118"/>
      <c r="C61" s="116"/>
      <c r="D61" s="116"/>
      <c r="E61" s="116"/>
      <c r="F61" s="47" t="str">
        <f t="shared" si="157"/>
        <v>-</v>
      </c>
      <c r="G61" s="81" t="str">
        <f t="shared" si="158"/>
        <v>-</v>
      </c>
      <c r="H61" s="235"/>
      <c r="I61" s="119"/>
      <c r="J61" s="269" t="s">
        <v>607</v>
      </c>
      <c r="K61" s="123"/>
      <c r="L61" s="387"/>
      <c r="M61" s="560" t="s">
        <v>670</v>
      </c>
      <c r="N61" s="561"/>
      <c r="O61" s="46">
        <f t="shared" si="159"/>
        <v>1</v>
      </c>
      <c r="P61" s="120">
        <f t="shared" si="160"/>
        <v>1</v>
      </c>
      <c r="Q61" s="46">
        <f t="shared" si="161"/>
        <v>1</v>
      </c>
      <c r="R61" s="120">
        <f t="shared" si="162"/>
        <v>1</v>
      </c>
      <c r="S61" s="46">
        <f t="shared" si="163"/>
        <v>1</v>
      </c>
      <c r="T61" s="120">
        <f t="shared" si="164"/>
        <v>1</v>
      </c>
      <c r="U61" s="499"/>
      <c r="V61" s="124" t="str">
        <f t="shared" si="165"/>
        <v>-</v>
      </c>
      <c r="W61" s="116"/>
      <c r="X61" s="124" t="str">
        <f t="shared" si="166"/>
        <v>-</v>
      </c>
      <c r="Y61" s="499"/>
      <c r="Z61" s="122"/>
      <c r="AA61" s="116"/>
      <c r="AB61" s="116"/>
      <c r="AC61" s="499"/>
      <c r="AD61" s="117"/>
      <c r="AE61" s="204">
        <f t="shared" si="167"/>
        <v>0</v>
      </c>
      <c r="AF61" s="180">
        <f t="shared" si="168"/>
        <v>0</v>
      </c>
      <c r="AG61" s="495">
        <f t="shared" si="169"/>
        <v>0</v>
      </c>
      <c r="AH61" s="180">
        <f t="shared" si="170"/>
        <v>0</v>
      </c>
      <c r="AI61" s="180">
        <f t="shared" si="171"/>
        <v>0</v>
      </c>
      <c r="AJ61" s="494">
        <f t="shared" si="172"/>
        <v>1</v>
      </c>
      <c r="AK61" s="494">
        <f t="shared" si="173"/>
        <v>1</v>
      </c>
      <c r="AL61" s="494">
        <f t="shared" si="174"/>
        <v>1</v>
      </c>
      <c r="AM61" s="494">
        <f t="shared" si="175"/>
        <v>1</v>
      </c>
      <c r="AN61" s="493">
        <f t="shared" si="176"/>
        <v>0</v>
      </c>
      <c r="AO61" s="491"/>
      <c r="AP61" s="491"/>
      <c r="AQ61" s="491"/>
      <c r="AR61" s="491"/>
      <c r="AS61" s="491"/>
      <c r="AT61" s="491"/>
      <c r="AU61" s="491"/>
      <c r="AV61" s="491" t="s">
        <v>256</v>
      </c>
      <c r="AW61" s="491">
        <f t="shared" si="177"/>
        <v>0</v>
      </c>
      <c r="AX61" s="492">
        <f t="shared" si="178"/>
        <v>0</v>
      </c>
      <c r="AY61" s="493">
        <f t="shared" si="179"/>
        <v>0</v>
      </c>
      <c r="AZ61" s="491">
        <f t="shared" si="180"/>
        <v>0</v>
      </c>
      <c r="BA61" s="491">
        <f>INDEX(pin!$D$6:$T$42,MATCH(ΥΠΟΛΟΓΙΣΜΟΙ!AY61,pin!$B$6:$B$42,0),MATCH(ΥΠΟΛΟΓΙΣΜΟΙ!AW61,pin!$D$5:$T$5,0))+0.4*(AY61-AE61)*(INDEX(pin!$D$6:$T$42,MATCH(ΥΠΟΛΟΓΙΣΜΟΙ!AY61,pin!$B$6:$B$42,0),MATCH(ΥΠΟΛΟΓΙΣΜΟΙ!AW61,pin!$D$5:$T$5,0))-INDEX(pin!$D$6:$T$42,MATCH(ΥΠΟΛΟΓΙΣΜΟΙ!AZ61,pin!$B$6:$B$42,0),MATCH(ΥΠΟΛΟΓΙΣΜΟΙ!AW61,pin!$D$5:$T$5,0)))</f>
        <v>1</v>
      </c>
      <c r="BB61" s="492">
        <f>INDEX(pin!$D$6:$T$42,MATCH(ΥΠΟΛΟΓΙΣΜΟΙ!AY61,pin!$B$6:$B$42,0),MATCH(ΥΠΟΛΟΓΙΣΜΟΙ!AX61,pin!$D$5:$T$5,0))+0.4*(AY61-AE61)*(INDEX(pin!$D$6:$T$42,MATCH(ΥΠΟΛΟΓΙΣΜΟΙ!AY61,pin!$B$6:$B$42,0),MATCH(ΥΠΟΛΟΓΙΣΜΟΙ!AX61,pin!$D$5:$T$5,0))-INDEX(pin!$D$6:$T$42,MATCH(ΥΠΟΛΟΓΙΣΜΟΙ!AZ61,pin!$B$6:$B$42,0),MATCH(ΥΠΟΛΟΓΙΣΜΟΙ!AX61,pin!$D$5:$T$5,0)))</f>
        <v>1</v>
      </c>
      <c r="BC61" s="491">
        <f>INDEX(pin!$X$6:$AN$42,MATCH(ΥΠΟΛΟΓΙΣΜΟΙ!AY61,pin!$V$6:$V$42,0),MATCH(ΥΠΟΛΟΓΙΣΜΟΙ!AW61,pin!$X$5:$AN$5,0))+0.4*(AY61-AE61)*(INDEX(pin!$X$6:$AN$42,MATCH(ΥΠΟΛΟΓΙΣΜΟΙ!AY61,pin!$V$6:$V$42,0),MATCH(ΥΠΟΛΟΓΙΣΜΟΙ!AW61,pin!$X$5:$AN$5,0))-INDEX(pin!$X$6:$AN$42,MATCH(ΥΠΟΛΟΓΙΣΜΟΙ!AZ61,pin!$V$6:$V$42,0),MATCH(ΥΠΟΛΟΓΙΣΜΟΙ!AW61,pin!$X$5:$AN$5,0)))</f>
        <v>1</v>
      </c>
      <c r="BD61" s="491">
        <f>INDEX(pin!$X$6:$AN$42,MATCH(ΥΠΟΛΟΓΙΣΜΟΙ!AY61,pin!$V$6:$V$42,0),MATCH(ΥΠΟΛΟΓΙΣΜΟΙ!AX61,pin!$X$5:$AN$5,0))+0.4*(AY61-AE61)*(INDEX(pin!$X$6:$AN$42,MATCH(ΥΠΟΛΟΓΙΣΜΟΙ!AY61,pin!$V$6:$V$42,0),MATCH(ΥΠΟΛΟΓΙΣΜΟΙ!AX61,pin!$X$5:$AN$5,0))-INDEX(pin!$X$6:$AN$42,MATCH(ΥΠΟΛΟΓΙΣΜΟΙ!AZ61,pin!$V$6:$V$42,0),MATCH(ΥΠΟΛΟΓΙΣΜΟΙ!AX61,pin!$X$5:$AN$5,0)))</f>
        <v>1</v>
      </c>
      <c r="BE61" s="493">
        <f t="shared" si="181"/>
        <v>0</v>
      </c>
      <c r="BF61" s="491">
        <f t="shared" si="182"/>
        <v>0</v>
      </c>
      <c r="BG61" s="491">
        <f>INDEX(pin!$D$48:$T$84,MATCH(ΥΠΟΛΟΓΙΣΜΟΙ!BE61,pin!$B$48:$B$84,0),MATCH(ΥΠΟΛΟΓΙΣΜΟΙ!AW61,pin!$D$47:$T$47,0))+0.4*(BE61-AF61)*(INDEX(pin!$D$48:$T$84,MATCH(ΥΠΟΛΟΓΙΣΜΟΙ!BE61,pin!$B$48:$B$84,0),MATCH(ΥΠΟΛΟΓΙΣΜΟΙ!AW61,pin!$D$47:$T$47,0))-INDEX(pin!$D$48:$T$84,MATCH(ΥΠΟΛΟΓΙΣΜΟΙ!BF61,pin!$B$48:$B$84,0),MATCH(ΥΠΟΛΟΓΙΣΜΟΙ!AW61,pin!$D$47:$T$47,0)))</f>
        <v>1</v>
      </c>
      <c r="BH61" s="491">
        <f>INDEX(pin!$D$48:$T$84,MATCH(ΥΠΟΛΟΓΙΣΜΟΙ!BE61,pin!$B$48:$B$84,0),MATCH(ΥΠΟΛΟΓΙΣΜΟΙ!AX61,pin!$D$47:$T$47,0))+0.4*(BE61-AF61)*(INDEX(pin!$D$48:$T$84,MATCH(ΥΠΟΛΟΓΙΣΜΟΙ!BE61,pin!$B$48:$B$84,0),MATCH(ΥΠΟΛΟΓΙΣΜΟΙ!AX61,pin!$D$47:$T$47,0))-INDEX(pin!$D$48:$T$84,MATCH(ΥΠΟΛΟΓΙΣΜΟΙ!BF61,pin!$B$48:$B$84,0),MATCH(ΥΠΟΛΟΓΙΣΜΟΙ!AX61,pin!$D$47:$T$47,0)))</f>
        <v>1</v>
      </c>
      <c r="BI61" s="493">
        <f>INDEX(pin!$X$48:$AN$84,MATCH(ΥΠΟΛΟΓΙΣΜΟΙ!BE61,pin!$V$48:$V$84,0),MATCH(ΥΠΟΛΟΓΙΣΜΟΙ!AW61,pin!$X$47:$AN$47,0))+0.4*(BE61-AF61)*(INDEX(pin!$X$48:$AN$84,MATCH(ΥΠΟΛΟΓΙΣΜΟΙ!BE61,pin!$V$48:$V$84,0),MATCH(ΥΠΟΛΟΓΙΣΜΟΙ!AW61,pin!$X$47:$AN$47,0))-INDEX(pin!$X$48:$AN$84,MATCH(ΥΠΟΛΟΓΙΣΜΟΙ!BF61,pin!$V$48:$V$84,0),MATCH(ΥΠΟΛΟΓΙΣΜΟΙ!AW61,pin!$X$47:$AN$47,0)))</f>
        <v>1</v>
      </c>
      <c r="BJ61" s="492">
        <f>INDEX(pin!$X$48:$AN$84,MATCH(ΥΠΟΛΟΓΙΣΜΟΙ!BE61,pin!$V$48:$V$84,0),MATCH(ΥΠΟΛΟΓΙΣΜΟΙ!AX61,pin!$X$47:$AN$47,0))+0.4*(BE61-AF61)*(INDEX(pin!$X$48:$AN$84,MATCH(ΥΠΟΛΟΓΙΣΜΟΙ!BE61,pin!$V$48:$V$84,0),MATCH(ΥΠΟΛΟΓΙΣΜΟΙ!AX61,pin!$X$47:$AN$47,0))-INDEX(pin!$X$48:$AN$84,MATCH(ΥΠΟΛΟΓΙΣΜΟΙ!BF61,pin!$V$48:$V$84,0),MATCH(ΥΠΟΛΟΓΙΣΜΟΙ!AX61,pin!$X$47:$AN$47,0)))</f>
        <v>1</v>
      </c>
      <c r="BK61" s="493">
        <f t="shared" si="183"/>
        <v>0</v>
      </c>
      <c r="BL61" s="491">
        <f t="shared" si="184"/>
        <v>0</v>
      </c>
      <c r="BM61" s="491">
        <f>INDEX(pin!$X$48:$AN$84,MATCH(ΥΠΟΛΟΓΙΣΜΟΙ!BK61,pin!$V$48:$V$84,0),MATCH(ΥΠΟΛΟΓΙΣΜΟΙ!AW61,pin!$X$47:$AN$47,0))+0.4*(BK61-AG61)*(INDEX(pin!$X$48:$AN$84,MATCH(ΥΠΟΛΟΓΙΣΜΟΙ!BK61,pin!$V$48:$V$84,0),MATCH(ΥΠΟΛΟΓΙΣΜΟΙ!AW61,pin!$X$47:$AN$47,0))-INDEX(pin!$X$48:$AN$84,MATCH(ΥΠΟΛΟΓΙΣΜΟΙ!BL61,pin!$V$48:$V$84,0),MATCH(ΥΠΟΛΟΓΙΣΜΟΙ!AW61,pin!$X$47:$AN$47,0)))</f>
        <v>1</v>
      </c>
      <c r="BN61" s="492">
        <f>INDEX(pin!$X$48:$AN$84,MATCH(ΥΠΟΛΟΓΙΣΜΟΙ!BK61,pin!$V$48:$V$84,0),MATCH(ΥΠΟΛΟΓΙΣΜΟΙ!AX61,pin!$X$47:$AN$47,0))+0.4*(BK61-AG61)*(INDEX(pin!$X$48:$AN$84,MATCH(ΥΠΟΛΟΓΙΣΜΟΙ!BK61,pin!$V$48:$V$84,0),MATCH(ΥΠΟΛΟΓΙΣΜΟΙ!AX61,pin!$X$47:$AN$47,0))-INDEX(pin!$X$48:$AN$84,MATCH(ΥΠΟΛΟΓΙΣΜΟΙ!BL61,pin!$V$48:$V$84,0),MATCH(ΥΠΟΛΟΓΙΣΜΟΙ!AX61,pin!$X$47:$AN$47,0)))</f>
        <v>1</v>
      </c>
      <c r="BO61" s="493">
        <f t="shared" si="185"/>
        <v>0</v>
      </c>
      <c r="BP61" s="491">
        <f t="shared" si="186"/>
        <v>0</v>
      </c>
      <c r="BQ61" s="491">
        <f>INDEX(pin!$D$114:$T$132,MATCH(ΥΠΟΛΟΓΙΣΜΟΙ!BO61,pin!$B$114:$B$132,0),MATCH(ΥΠΟΛΟΓΙΣΜΟΙ!AW61,pin!$D$113:$T$113,0))+0.2*(BO61-AH61)*(INDEX(pin!$D$114:$T$132,MATCH(ΥΠΟΛΟΓΙΣΜΟΙ!BO61,pin!$B$114:$B$132,0),MATCH(ΥΠΟΛΟΓΙΣΜΟΙ!AW61,pin!$D$113:$T$113,0))-INDEX(pin!$D$114:$T$132,MATCH(ΥΠΟΛΟΓΙΣΜΟΙ!BP61,pin!$B$114:$B$132,0),MATCH(ΥΠΟΛΟΓΙΣΜΟΙ!AW61,pin!$D$113:$T$113,0)))</f>
        <v>1</v>
      </c>
      <c r="BR61" s="491">
        <f>INDEX(pin!$D$114:$T$132,MATCH(ΥΠΟΛΟΓΙΣΜΟΙ!BO61,pin!$B$114:$B$132,0),MATCH(ΥΠΟΛΟΓΙΣΜΟΙ!AX61,pin!$D$113:$T$113,0))+0.2*(BO61-AH61)*(INDEX(pin!$D$114:$T$132,MATCH(ΥΠΟΛΟΓΙΣΜΟΙ!BO61,pin!$B$114:$B$132,0),MATCH(ΥΠΟΛΟΓΙΣΜΟΙ!AX61,pin!$D$113:$T$113,0))-INDEX(pin!$D$114:$T$132,MATCH(ΥΠΟΛΟΓΙΣΜΟΙ!BP61,pin!$B$114:$B$132,0),MATCH(ΥΠΟΛΟΓΙΣΜΟΙ!AX61,pin!$D$113:$T$113,0)))</f>
        <v>1</v>
      </c>
      <c r="BS61" s="493">
        <f>INDEX(pin!$X$114:$AN$132,MATCH(ΥΠΟΛΟΓΙΣΜΟΙ!BO61,pin!$V$114:$V$132,0),MATCH(ΥΠΟΛΟΓΙΣΜΟΙ!AW61,pin!$X$113:$AN$113,0))+0.2*(BO61-AH61)*(INDEX(pin!$X$114:$AN$132,MATCH(ΥΠΟΛΟΓΙΣΜΟΙ!BO61,pin!$V$114:$V$132,0),MATCH(ΥΠΟΛΟΓΙΣΜΟΙ!AW61,pin!$X$113:$AN$113,0))-INDEX(pin!$X$114:$AN$132,MATCH(ΥΠΟΛΟΓΙΣΜΟΙ!BP61,pin!$V$114:$V$132,0),MATCH(ΥΠΟΛΟΓΙΣΜΟΙ!AW61,pin!$X$113:$AN$113,0)))</f>
        <v>1</v>
      </c>
      <c r="BT61" s="492">
        <f>INDEX(pin!$X$114:$AN$132,MATCH(ΥΠΟΛΟΓΙΣΜΟΙ!BO61,pin!$V$114:$V$132,0),MATCH(ΥΠΟΛΟΓΙΣΜΟΙ!AX61,pin!$X$113:$AN$113,0))+0.2*(BO61-AH61)*(INDEX(pin!$X$114:$AN$132,MATCH(ΥΠΟΛΟΓΙΣΜΟΙ!BO61,pin!$V$114:$V$132,0),MATCH(ΥΠΟΛΟΓΙΣΜΟΙ!AX61,pin!$X$113:$AN$113,0))-INDEX(pin!$X$114:$AN$132,MATCH(ΥΠΟΛΟΓΙΣΜΟΙ!BP61,pin!$V$114:$V$132,0),MATCH(ΥΠΟΛΟΓΙΣΜΟΙ!AX61,pin!$X$113:$AN$113,0)))</f>
        <v>1</v>
      </c>
      <c r="BU61" s="493">
        <f t="shared" si="187"/>
        <v>0</v>
      </c>
      <c r="BV61" s="491">
        <f t="shared" si="188"/>
        <v>0</v>
      </c>
      <c r="BW61" s="491">
        <f>INDEX(pin!$D$90:$T$108,MATCH(ΥΠΟΛΟΓΙΣΜΟΙ!BU61,pin!$B$90:$B$108,0),MATCH(ΥΠΟΛΟΓΙΣΜΟΙ!AW61,pin!$D$89:$T$89,0))+0.2*(BU61-AI61)*(INDEX(pin!$D$90:$T$108,MATCH(ΥΠΟΛΟΓΙΣΜΟΙ!BU61,pin!$B$90:$B$108,0),MATCH(ΥΠΟΛΟΓΙΣΜΟΙ!AW61,pin!$D$89:$T$89,0))-INDEX(pin!$D$90:$T$108,MATCH(ΥΠΟΛΟΓΙΣΜΟΙ!BV61,pin!$B$90:$B$108,0),MATCH(ΥΠΟΛΟΓΙΣΜΟΙ!AW61,pin!$D$89:$T$89,0)))</f>
        <v>1</v>
      </c>
      <c r="BX61" s="492">
        <f>INDEX(pin!$D$90:$T$108,MATCH(ΥΠΟΛΟΓΙΣΜΟΙ!BU61,pin!$B$90:$B$108,0),MATCH(ΥΠΟΛΟΓΙΣΜΟΙ!AX61,pin!$D$89:$T$89,0))+0.2*(BU61-AI61)*(INDEX(pin!$D$90:$T$108,MATCH(ΥΠΟΛΟΓΙΣΜΟΙ!BU61,pin!$B$90:$B$108,0),MATCH(ΥΠΟΛΟΓΙΣΜΟΙ!AX61,pin!$D$89:$T$89,0))-INDEX(pin!$D$90:$T$108,MATCH(ΥΠΟΛΟΓΙΣΜΟΙ!BV61,pin!$B$90:$B$108,0),MATCH(ΥΠΟΛΟΓΙΣΜΟΙ!AX61,pin!$D$89:$T$89,0)))</f>
        <v>1</v>
      </c>
      <c r="BY61" s="491">
        <f>INDEX(pin!$X$90:$AN$108,MATCH(ΥΠΟΛΟΓΙΣΜΟΙ!BU61,pin!$V$90:$V$108,0),MATCH(ΥΠΟΛΟΓΙΣΜΟΙ!AW61,pin!$X$89:$AN$89,0))+0.2*(BU61-AI61)*(INDEX(pin!$X$90:$AN$108,MATCH(ΥΠΟΛΟΓΙΣΜΟΙ!BU61,pin!$V$90:$V$108,0),MATCH(ΥΠΟΛΟΓΙΣΜΟΙ!AW61,pin!$X$89:$AN$89,0))-INDEX(pin!$X$90:$AN$108,MATCH(ΥΠΟΛΟΓΙΣΜΟΙ!BV61,pin!$V$90:$V$108,0),MATCH(ΥΠΟΛΟΓΙΣΜΟΙ!AW61,pin!$X$89:$AN$89,0)))</f>
        <v>1</v>
      </c>
      <c r="BZ61" s="492">
        <f>INDEX(pin!$X$90:$AN$108,MATCH(ΥΠΟΛΟΓΙΣΜΟΙ!BU61,pin!$V$90:$V$108,0),MATCH(ΥΠΟΛΟΓΙΣΜΟΙ!AX61,pin!$X$89:$AN$89,0))+0.2*(BU61-AI61)*(INDEX(pin!$X$90:$AN$108,MATCH(ΥΠΟΛΟΓΙΣΜΟΙ!BU61,pin!$V$90:$V$108,0),MATCH(ΥΠΟΛΟΓΙΣΜΟΙ!AX61,pin!$X$89:$AN$89,0))-INDEX(pin!$X$90:$AN$108,MATCH(ΥΠΟΛΟΓΙΣΜΟΙ!BV61,pin!$V$90:$V$108,0),MATCH(ΥΠΟΛΟΓΙΣΜΟΙ!AX61,pin!$X$89:$AN$89,0)))</f>
        <v>1</v>
      </c>
      <c r="CA61" s="189"/>
    </row>
    <row r="62" spans="1:119" s="34" customFormat="1">
      <c r="A62" s="490">
        <v>17</v>
      </c>
      <c r="B62" s="118"/>
      <c r="C62" s="116"/>
      <c r="D62" s="116"/>
      <c r="E62" s="116"/>
      <c r="F62" s="47" t="str">
        <f t="shared" si="157"/>
        <v>-</v>
      </c>
      <c r="G62" s="81" t="str">
        <f t="shared" si="158"/>
        <v>-</v>
      </c>
      <c r="H62" s="235"/>
      <c r="I62" s="119"/>
      <c r="J62" s="269" t="s">
        <v>607</v>
      </c>
      <c r="K62" s="123"/>
      <c r="L62" s="387"/>
      <c r="M62" s="560" t="s">
        <v>670</v>
      </c>
      <c r="N62" s="561"/>
      <c r="O62" s="46">
        <f t="shared" si="159"/>
        <v>1</v>
      </c>
      <c r="P62" s="120">
        <f t="shared" si="160"/>
        <v>1</v>
      </c>
      <c r="Q62" s="46">
        <f t="shared" si="161"/>
        <v>1</v>
      </c>
      <c r="R62" s="120">
        <f t="shared" si="162"/>
        <v>1</v>
      </c>
      <c r="S62" s="46">
        <f t="shared" si="163"/>
        <v>1</v>
      </c>
      <c r="T62" s="120">
        <f t="shared" si="164"/>
        <v>1</v>
      </c>
      <c r="U62" s="499"/>
      <c r="V62" s="124" t="str">
        <f t="shared" si="165"/>
        <v>-</v>
      </c>
      <c r="W62" s="116"/>
      <c r="X62" s="124" t="str">
        <f t="shared" si="166"/>
        <v>-</v>
      </c>
      <c r="Y62" s="499"/>
      <c r="Z62" s="122"/>
      <c r="AA62" s="116"/>
      <c r="AB62" s="116"/>
      <c r="AC62" s="499"/>
      <c r="AD62" s="117"/>
      <c r="AE62" s="204">
        <f t="shared" si="167"/>
        <v>0</v>
      </c>
      <c r="AF62" s="180">
        <f t="shared" si="168"/>
        <v>0</v>
      </c>
      <c r="AG62" s="495">
        <f t="shared" si="169"/>
        <v>0</v>
      </c>
      <c r="AH62" s="180">
        <f t="shared" si="170"/>
        <v>0</v>
      </c>
      <c r="AI62" s="180">
        <f t="shared" si="171"/>
        <v>0</v>
      </c>
      <c r="AJ62" s="494">
        <f t="shared" si="172"/>
        <v>1</v>
      </c>
      <c r="AK62" s="494">
        <f t="shared" si="173"/>
        <v>1</v>
      </c>
      <c r="AL62" s="494">
        <f t="shared" si="174"/>
        <v>1</v>
      </c>
      <c r="AM62" s="494">
        <f t="shared" si="175"/>
        <v>1</v>
      </c>
      <c r="AN62" s="493">
        <f t="shared" si="176"/>
        <v>0</v>
      </c>
      <c r="AO62" s="491"/>
      <c r="AP62" s="491"/>
      <c r="AQ62" s="491"/>
      <c r="AR62" s="491"/>
      <c r="AS62" s="491"/>
      <c r="AT62" s="491"/>
      <c r="AU62" s="491"/>
      <c r="AV62" s="491" t="s">
        <v>256</v>
      </c>
      <c r="AW62" s="491">
        <f t="shared" si="177"/>
        <v>0</v>
      </c>
      <c r="AX62" s="492">
        <f t="shared" si="178"/>
        <v>0</v>
      </c>
      <c r="AY62" s="493">
        <f t="shared" si="179"/>
        <v>0</v>
      </c>
      <c r="AZ62" s="491">
        <f t="shared" si="180"/>
        <v>0</v>
      </c>
      <c r="BA62" s="491">
        <f>INDEX(pin!$D$6:$T$42,MATCH(ΥΠΟΛΟΓΙΣΜΟΙ!AY62,pin!$B$6:$B$42,0),MATCH(ΥΠΟΛΟΓΙΣΜΟΙ!AW62,pin!$D$5:$T$5,0))+0.4*(AY62-AE62)*(INDEX(pin!$D$6:$T$42,MATCH(ΥΠΟΛΟΓΙΣΜΟΙ!AY62,pin!$B$6:$B$42,0),MATCH(ΥΠΟΛΟΓΙΣΜΟΙ!AW62,pin!$D$5:$T$5,0))-INDEX(pin!$D$6:$T$42,MATCH(ΥΠΟΛΟΓΙΣΜΟΙ!AZ62,pin!$B$6:$B$42,0),MATCH(ΥΠΟΛΟΓΙΣΜΟΙ!AW62,pin!$D$5:$T$5,0)))</f>
        <v>1</v>
      </c>
      <c r="BB62" s="492">
        <f>INDEX(pin!$D$6:$T$42,MATCH(ΥΠΟΛΟΓΙΣΜΟΙ!AY62,pin!$B$6:$B$42,0),MATCH(ΥΠΟΛΟΓΙΣΜΟΙ!AX62,pin!$D$5:$T$5,0))+0.4*(AY62-AE62)*(INDEX(pin!$D$6:$T$42,MATCH(ΥΠΟΛΟΓΙΣΜΟΙ!AY62,pin!$B$6:$B$42,0),MATCH(ΥΠΟΛΟΓΙΣΜΟΙ!AX62,pin!$D$5:$T$5,0))-INDEX(pin!$D$6:$T$42,MATCH(ΥΠΟΛΟΓΙΣΜΟΙ!AZ62,pin!$B$6:$B$42,0),MATCH(ΥΠΟΛΟΓΙΣΜΟΙ!AX62,pin!$D$5:$T$5,0)))</f>
        <v>1</v>
      </c>
      <c r="BC62" s="491">
        <f>INDEX(pin!$X$6:$AN$42,MATCH(ΥΠΟΛΟΓΙΣΜΟΙ!AY62,pin!$V$6:$V$42,0),MATCH(ΥΠΟΛΟΓΙΣΜΟΙ!AW62,pin!$X$5:$AN$5,0))+0.4*(AY62-AE62)*(INDEX(pin!$X$6:$AN$42,MATCH(ΥΠΟΛΟΓΙΣΜΟΙ!AY62,pin!$V$6:$V$42,0),MATCH(ΥΠΟΛΟΓΙΣΜΟΙ!AW62,pin!$X$5:$AN$5,0))-INDEX(pin!$X$6:$AN$42,MATCH(ΥΠΟΛΟΓΙΣΜΟΙ!AZ62,pin!$V$6:$V$42,0),MATCH(ΥΠΟΛΟΓΙΣΜΟΙ!AW62,pin!$X$5:$AN$5,0)))</f>
        <v>1</v>
      </c>
      <c r="BD62" s="491">
        <f>INDEX(pin!$X$6:$AN$42,MATCH(ΥΠΟΛΟΓΙΣΜΟΙ!AY62,pin!$V$6:$V$42,0),MATCH(ΥΠΟΛΟΓΙΣΜΟΙ!AX62,pin!$X$5:$AN$5,0))+0.4*(AY62-AE62)*(INDEX(pin!$X$6:$AN$42,MATCH(ΥΠΟΛΟΓΙΣΜΟΙ!AY62,pin!$V$6:$V$42,0),MATCH(ΥΠΟΛΟΓΙΣΜΟΙ!AX62,pin!$X$5:$AN$5,0))-INDEX(pin!$X$6:$AN$42,MATCH(ΥΠΟΛΟΓΙΣΜΟΙ!AZ62,pin!$V$6:$V$42,0),MATCH(ΥΠΟΛΟΓΙΣΜΟΙ!AX62,pin!$X$5:$AN$5,0)))</f>
        <v>1</v>
      </c>
      <c r="BE62" s="493">
        <f t="shared" si="181"/>
        <v>0</v>
      </c>
      <c r="BF62" s="491">
        <f t="shared" si="182"/>
        <v>0</v>
      </c>
      <c r="BG62" s="491">
        <f>INDEX(pin!$D$48:$T$84,MATCH(ΥΠΟΛΟΓΙΣΜΟΙ!BE62,pin!$B$48:$B$84,0),MATCH(ΥΠΟΛΟΓΙΣΜΟΙ!AW62,pin!$D$47:$T$47,0))+0.4*(BE62-AF62)*(INDEX(pin!$D$48:$T$84,MATCH(ΥΠΟΛΟΓΙΣΜΟΙ!BE62,pin!$B$48:$B$84,0),MATCH(ΥΠΟΛΟΓΙΣΜΟΙ!AW62,pin!$D$47:$T$47,0))-INDEX(pin!$D$48:$T$84,MATCH(ΥΠΟΛΟΓΙΣΜΟΙ!BF62,pin!$B$48:$B$84,0),MATCH(ΥΠΟΛΟΓΙΣΜΟΙ!AW62,pin!$D$47:$T$47,0)))</f>
        <v>1</v>
      </c>
      <c r="BH62" s="491">
        <f>INDEX(pin!$D$48:$T$84,MATCH(ΥΠΟΛΟΓΙΣΜΟΙ!BE62,pin!$B$48:$B$84,0),MATCH(ΥΠΟΛΟΓΙΣΜΟΙ!AX62,pin!$D$47:$T$47,0))+0.4*(BE62-AF62)*(INDEX(pin!$D$48:$T$84,MATCH(ΥΠΟΛΟΓΙΣΜΟΙ!BE62,pin!$B$48:$B$84,0),MATCH(ΥΠΟΛΟΓΙΣΜΟΙ!AX62,pin!$D$47:$T$47,0))-INDEX(pin!$D$48:$T$84,MATCH(ΥΠΟΛΟΓΙΣΜΟΙ!BF62,pin!$B$48:$B$84,0),MATCH(ΥΠΟΛΟΓΙΣΜΟΙ!AX62,pin!$D$47:$T$47,0)))</f>
        <v>1</v>
      </c>
      <c r="BI62" s="493">
        <f>INDEX(pin!$X$48:$AN$84,MATCH(ΥΠΟΛΟΓΙΣΜΟΙ!BE62,pin!$V$48:$V$84,0),MATCH(ΥΠΟΛΟΓΙΣΜΟΙ!AW62,pin!$X$47:$AN$47,0))+0.4*(BE62-AF62)*(INDEX(pin!$X$48:$AN$84,MATCH(ΥΠΟΛΟΓΙΣΜΟΙ!BE62,pin!$V$48:$V$84,0),MATCH(ΥΠΟΛΟΓΙΣΜΟΙ!AW62,pin!$X$47:$AN$47,0))-INDEX(pin!$X$48:$AN$84,MATCH(ΥΠΟΛΟΓΙΣΜΟΙ!BF62,pin!$V$48:$V$84,0),MATCH(ΥΠΟΛΟΓΙΣΜΟΙ!AW62,pin!$X$47:$AN$47,0)))</f>
        <v>1</v>
      </c>
      <c r="BJ62" s="492">
        <f>INDEX(pin!$X$48:$AN$84,MATCH(ΥΠΟΛΟΓΙΣΜΟΙ!BE62,pin!$V$48:$V$84,0),MATCH(ΥΠΟΛΟΓΙΣΜΟΙ!AX62,pin!$X$47:$AN$47,0))+0.4*(BE62-AF62)*(INDEX(pin!$X$48:$AN$84,MATCH(ΥΠΟΛΟΓΙΣΜΟΙ!BE62,pin!$V$48:$V$84,0),MATCH(ΥΠΟΛΟΓΙΣΜΟΙ!AX62,pin!$X$47:$AN$47,0))-INDEX(pin!$X$48:$AN$84,MATCH(ΥΠΟΛΟΓΙΣΜΟΙ!BF62,pin!$V$48:$V$84,0),MATCH(ΥΠΟΛΟΓΙΣΜΟΙ!AX62,pin!$X$47:$AN$47,0)))</f>
        <v>1</v>
      </c>
      <c r="BK62" s="493">
        <f t="shared" si="183"/>
        <v>0</v>
      </c>
      <c r="BL62" s="491">
        <f t="shared" si="184"/>
        <v>0</v>
      </c>
      <c r="BM62" s="491">
        <f>INDEX(pin!$X$48:$AN$84,MATCH(ΥΠΟΛΟΓΙΣΜΟΙ!BK62,pin!$V$48:$V$84,0),MATCH(ΥΠΟΛΟΓΙΣΜΟΙ!AW62,pin!$X$47:$AN$47,0))+0.4*(BK62-AG62)*(INDEX(pin!$X$48:$AN$84,MATCH(ΥΠΟΛΟΓΙΣΜΟΙ!BK62,pin!$V$48:$V$84,0),MATCH(ΥΠΟΛΟΓΙΣΜΟΙ!AW62,pin!$X$47:$AN$47,0))-INDEX(pin!$X$48:$AN$84,MATCH(ΥΠΟΛΟΓΙΣΜΟΙ!BL62,pin!$V$48:$V$84,0),MATCH(ΥΠΟΛΟΓΙΣΜΟΙ!AW62,pin!$X$47:$AN$47,0)))</f>
        <v>1</v>
      </c>
      <c r="BN62" s="492">
        <f>INDEX(pin!$X$48:$AN$84,MATCH(ΥΠΟΛΟΓΙΣΜΟΙ!BK62,pin!$V$48:$V$84,0),MATCH(ΥΠΟΛΟΓΙΣΜΟΙ!AX62,pin!$X$47:$AN$47,0))+0.4*(BK62-AG62)*(INDEX(pin!$X$48:$AN$84,MATCH(ΥΠΟΛΟΓΙΣΜΟΙ!BK62,pin!$V$48:$V$84,0),MATCH(ΥΠΟΛΟΓΙΣΜΟΙ!AX62,pin!$X$47:$AN$47,0))-INDEX(pin!$X$48:$AN$84,MATCH(ΥΠΟΛΟΓΙΣΜΟΙ!BL62,pin!$V$48:$V$84,0),MATCH(ΥΠΟΛΟΓΙΣΜΟΙ!AX62,pin!$X$47:$AN$47,0)))</f>
        <v>1</v>
      </c>
      <c r="BO62" s="493">
        <f t="shared" si="185"/>
        <v>0</v>
      </c>
      <c r="BP62" s="491">
        <f t="shared" si="186"/>
        <v>0</v>
      </c>
      <c r="BQ62" s="491">
        <f>INDEX(pin!$D$114:$T$132,MATCH(ΥΠΟΛΟΓΙΣΜΟΙ!BO62,pin!$B$114:$B$132,0),MATCH(ΥΠΟΛΟΓΙΣΜΟΙ!AW62,pin!$D$113:$T$113,0))+0.2*(BO62-AH62)*(INDEX(pin!$D$114:$T$132,MATCH(ΥΠΟΛΟΓΙΣΜΟΙ!BO62,pin!$B$114:$B$132,0),MATCH(ΥΠΟΛΟΓΙΣΜΟΙ!AW62,pin!$D$113:$T$113,0))-INDEX(pin!$D$114:$T$132,MATCH(ΥΠΟΛΟΓΙΣΜΟΙ!BP62,pin!$B$114:$B$132,0),MATCH(ΥΠΟΛΟΓΙΣΜΟΙ!AW62,pin!$D$113:$T$113,0)))</f>
        <v>1</v>
      </c>
      <c r="BR62" s="491">
        <f>INDEX(pin!$D$114:$T$132,MATCH(ΥΠΟΛΟΓΙΣΜΟΙ!BO62,pin!$B$114:$B$132,0),MATCH(ΥΠΟΛΟΓΙΣΜΟΙ!AX62,pin!$D$113:$T$113,0))+0.2*(BO62-AH62)*(INDEX(pin!$D$114:$T$132,MATCH(ΥΠΟΛΟΓΙΣΜΟΙ!BO62,pin!$B$114:$B$132,0),MATCH(ΥΠΟΛΟΓΙΣΜΟΙ!AX62,pin!$D$113:$T$113,0))-INDEX(pin!$D$114:$T$132,MATCH(ΥΠΟΛΟΓΙΣΜΟΙ!BP62,pin!$B$114:$B$132,0),MATCH(ΥΠΟΛΟΓΙΣΜΟΙ!AX62,pin!$D$113:$T$113,0)))</f>
        <v>1</v>
      </c>
      <c r="BS62" s="493">
        <f>INDEX(pin!$X$114:$AN$132,MATCH(ΥΠΟΛΟΓΙΣΜΟΙ!BO62,pin!$V$114:$V$132,0),MATCH(ΥΠΟΛΟΓΙΣΜΟΙ!AW62,pin!$X$113:$AN$113,0))+0.2*(BO62-AH62)*(INDEX(pin!$X$114:$AN$132,MATCH(ΥΠΟΛΟΓΙΣΜΟΙ!BO62,pin!$V$114:$V$132,0),MATCH(ΥΠΟΛΟΓΙΣΜΟΙ!AW62,pin!$X$113:$AN$113,0))-INDEX(pin!$X$114:$AN$132,MATCH(ΥΠΟΛΟΓΙΣΜΟΙ!BP62,pin!$V$114:$V$132,0),MATCH(ΥΠΟΛΟΓΙΣΜΟΙ!AW62,pin!$X$113:$AN$113,0)))</f>
        <v>1</v>
      </c>
      <c r="BT62" s="492">
        <f>INDEX(pin!$X$114:$AN$132,MATCH(ΥΠΟΛΟΓΙΣΜΟΙ!BO62,pin!$V$114:$V$132,0),MATCH(ΥΠΟΛΟΓΙΣΜΟΙ!AX62,pin!$X$113:$AN$113,0))+0.2*(BO62-AH62)*(INDEX(pin!$X$114:$AN$132,MATCH(ΥΠΟΛΟΓΙΣΜΟΙ!BO62,pin!$V$114:$V$132,0),MATCH(ΥΠΟΛΟΓΙΣΜΟΙ!AX62,pin!$X$113:$AN$113,0))-INDEX(pin!$X$114:$AN$132,MATCH(ΥΠΟΛΟΓΙΣΜΟΙ!BP62,pin!$V$114:$V$132,0),MATCH(ΥΠΟΛΟΓΙΣΜΟΙ!AX62,pin!$X$113:$AN$113,0)))</f>
        <v>1</v>
      </c>
      <c r="BU62" s="493">
        <f t="shared" si="187"/>
        <v>0</v>
      </c>
      <c r="BV62" s="491">
        <f t="shared" si="188"/>
        <v>0</v>
      </c>
      <c r="BW62" s="491">
        <f>INDEX(pin!$D$90:$T$108,MATCH(ΥΠΟΛΟΓΙΣΜΟΙ!BU62,pin!$B$90:$B$108,0),MATCH(ΥΠΟΛΟΓΙΣΜΟΙ!AW62,pin!$D$89:$T$89,0))+0.2*(BU62-AI62)*(INDEX(pin!$D$90:$T$108,MATCH(ΥΠΟΛΟΓΙΣΜΟΙ!BU62,pin!$B$90:$B$108,0),MATCH(ΥΠΟΛΟΓΙΣΜΟΙ!AW62,pin!$D$89:$T$89,0))-INDEX(pin!$D$90:$T$108,MATCH(ΥΠΟΛΟΓΙΣΜΟΙ!BV62,pin!$B$90:$B$108,0),MATCH(ΥΠΟΛΟΓΙΣΜΟΙ!AW62,pin!$D$89:$T$89,0)))</f>
        <v>1</v>
      </c>
      <c r="BX62" s="492">
        <f>INDEX(pin!$D$90:$T$108,MATCH(ΥΠΟΛΟΓΙΣΜΟΙ!BU62,pin!$B$90:$B$108,0),MATCH(ΥΠΟΛΟΓΙΣΜΟΙ!AX62,pin!$D$89:$T$89,0))+0.2*(BU62-AI62)*(INDEX(pin!$D$90:$T$108,MATCH(ΥΠΟΛΟΓΙΣΜΟΙ!BU62,pin!$B$90:$B$108,0),MATCH(ΥΠΟΛΟΓΙΣΜΟΙ!AX62,pin!$D$89:$T$89,0))-INDEX(pin!$D$90:$T$108,MATCH(ΥΠΟΛΟΓΙΣΜΟΙ!BV62,pin!$B$90:$B$108,0),MATCH(ΥΠΟΛΟΓΙΣΜΟΙ!AX62,pin!$D$89:$T$89,0)))</f>
        <v>1</v>
      </c>
      <c r="BY62" s="491">
        <f>INDEX(pin!$X$90:$AN$108,MATCH(ΥΠΟΛΟΓΙΣΜΟΙ!BU62,pin!$V$90:$V$108,0),MATCH(ΥΠΟΛΟΓΙΣΜΟΙ!AW62,pin!$X$89:$AN$89,0))+0.2*(BU62-AI62)*(INDEX(pin!$X$90:$AN$108,MATCH(ΥΠΟΛΟΓΙΣΜΟΙ!BU62,pin!$V$90:$V$108,0),MATCH(ΥΠΟΛΟΓΙΣΜΟΙ!AW62,pin!$X$89:$AN$89,0))-INDEX(pin!$X$90:$AN$108,MATCH(ΥΠΟΛΟΓΙΣΜΟΙ!BV62,pin!$V$90:$V$108,0),MATCH(ΥΠΟΛΟΓΙΣΜΟΙ!AW62,pin!$X$89:$AN$89,0)))</f>
        <v>1</v>
      </c>
      <c r="BZ62" s="492">
        <f>INDEX(pin!$X$90:$AN$108,MATCH(ΥΠΟΛΟΓΙΣΜΟΙ!BU62,pin!$V$90:$V$108,0),MATCH(ΥΠΟΛΟΓΙΣΜΟΙ!AX62,pin!$X$89:$AN$89,0))+0.2*(BU62-AI62)*(INDEX(pin!$X$90:$AN$108,MATCH(ΥΠΟΛΟΓΙΣΜΟΙ!BU62,pin!$V$90:$V$108,0),MATCH(ΥΠΟΛΟΓΙΣΜΟΙ!AX62,pin!$X$89:$AN$89,0))-INDEX(pin!$X$90:$AN$108,MATCH(ΥΠΟΛΟΓΙΣΜΟΙ!BV62,pin!$V$90:$V$108,0),MATCH(ΥΠΟΛΟΓΙΣΜΟΙ!AX62,pin!$X$89:$AN$89,0)))</f>
        <v>1</v>
      </c>
      <c r="CA62" s="189"/>
    </row>
    <row r="63" spans="1:119" s="34" customFormat="1">
      <c r="A63" s="56"/>
      <c r="B63" s="45"/>
      <c r="C63" s="46"/>
      <c r="D63" s="46"/>
      <c r="E63" s="46"/>
      <c r="F63" s="47"/>
      <c r="G63" s="48"/>
      <c r="H63" s="49"/>
      <c r="I63" s="49"/>
      <c r="J63" s="50"/>
      <c r="K63" s="51"/>
      <c r="L63" s="52"/>
      <c r="M63" s="474"/>
      <c r="N63" s="474"/>
      <c r="O63" s="474"/>
      <c r="P63" s="474"/>
      <c r="Q63" s="474"/>
      <c r="R63" s="53"/>
      <c r="S63" s="46"/>
      <c r="T63" s="153"/>
      <c r="U63" s="159"/>
      <c r="V63" s="54"/>
      <c r="W63" s="46"/>
      <c r="X63" s="54"/>
      <c r="Y63" s="55"/>
      <c r="Z63" s="55"/>
      <c r="AA63" s="46"/>
      <c r="AB63" s="46"/>
      <c r="AC63" s="53"/>
      <c r="AD63" s="53"/>
      <c r="AE63" s="210"/>
      <c r="AF63" s="184"/>
      <c r="AG63" s="184"/>
      <c r="AH63" s="185"/>
      <c r="AI63" s="185"/>
      <c r="AJ63" s="186"/>
      <c r="AK63" s="186"/>
      <c r="AL63" s="186"/>
      <c r="AM63" s="186"/>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89"/>
      <c r="BR63" s="189"/>
      <c r="BS63" s="189"/>
      <c r="BT63" s="189"/>
      <c r="BU63" s="189"/>
      <c r="BV63" s="189"/>
      <c r="BW63" s="189"/>
      <c r="BX63" s="189"/>
      <c r="BY63" s="189"/>
      <c r="BZ63" s="189"/>
      <c r="CA63" s="189"/>
    </row>
    <row r="64" spans="1:119" s="34" customFormat="1">
      <c r="A64" s="747" t="s">
        <v>134</v>
      </c>
      <c r="B64" s="748"/>
      <c r="C64" s="748"/>
      <c r="D64" s="749" t="s">
        <v>621</v>
      </c>
      <c r="E64" s="749"/>
      <c r="F64" s="749"/>
      <c r="G64" s="678"/>
      <c r="H64" s="678"/>
      <c r="I64" s="57" t="s">
        <v>198</v>
      </c>
      <c r="J64" s="58">
        <f>IFERROR(G64*0.00116,"-")</f>
        <v>0</v>
      </c>
      <c r="K64" s="59" t="s">
        <v>199</v>
      </c>
      <c r="L64" s="52"/>
      <c r="M64" s="60"/>
      <c r="N64" s="61"/>
      <c r="O64" s="49"/>
      <c r="P64" s="49"/>
      <c r="Q64" s="49"/>
      <c r="R64" s="49"/>
      <c r="S64" s="49"/>
      <c r="T64" s="157"/>
      <c r="U64" s="159"/>
      <c r="V64" s="54"/>
      <c r="W64" s="53"/>
      <c r="X64" s="54"/>
      <c r="Y64" s="562"/>
      <c r="Z64" s="562"/>
      <c r="AA64" s="53"/>
      <c r="AB64" s="53"/>
      <c r="AC64" s="53"/>
      <c r="AD64" s="53"/>
      <c r="AE64" s="211"/>
      <c r="AF64" s="179"/>
      <c r="AG64" s="179"/>
      <c r="AH64" s="179"/>
      <c r="AI64" s="179"/>
      <c r="AJ64" s="186"/>
      <c r="AK64" s="186"/>
      <c r="AL64" s="186"/>
      <c r="AM64" s="186"/>
      <c r="AN64" s="189"/>
      <c r="AO64" s="189"/>
      <c r="AP64" s="189"/>
      <c r="AQ64" s="189"/>
      <c r="AR64" s="189"/>
      <c r="AS64" s="189"/>
      <c r="AT64" s="190" t="s">
        <v>174</v>
      </c>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89"/>
      <c r="BR64" s="189"/>
      <c r="BS64" s="189"/>
      <c r="BT64" s="189"/>
      <c r="BU64" s="189"/>
      <c r="BV64" s="189"/>
      <c r="BW64" s="189"/>
      <c r="BX64" s="189"/>
      <c r="BY64" s="189"/>
      <c r="BZ64" s="189"/>
      <c r="CA64" s="189"/>
    </row>
    <row r="65" spans="1:118" s="34" customFormat="1">
      <c r="A65" s="553" t="s">
        <v>856</v>
      </c>
      <c r="B65" s="554"/>
      <c r="C65" s="554"/>
      <c r="D65" s="676" t="s">
        <v>154</v>
      </c>
      <c r="E65" s="677"/>
      <c r="F65" s="677"/>
      <c r="G65" s="125" t="str">
        <f>IF(J64&gt;0,J64,"0")</f>
        <v>0</v>
      </c>
      <c r="H65" s="558" t="s">
        <v>811</v>
      </c>
      <c r="I65" s="559"/>
      <c r="J65" s="559"/>
      <c r="K65" s="248">
        <f>T80</f>
        <v>0</v>
      </c>
      <c r="L65" s="648" t="s">
        <v>170</v>
      </c>
      <c r="M65" s="649"/>
      <c r="N65" s="649"/>
      <c r="O65" s="649"/>
      <c r="P65" s="650"/>
      <c r="Q65" s="651" t="s">
        <v>192</v>
      </c>
      <c r="R65" s="652"/>
      <c r="S65" s="652"/>
      <c r="T65" s="653"/>
      <c r="U65" s="622"/>
      <c r="V65" s="562"/>
      <c r="W65" s="562"/>
      <c r="X65" s="562"/>
      <c r="Y65" s="562"/>
      <c r="Z65" s="562"/>
      <c r="AA65" s="562"/>
      <c r="AB65" s="562"/>
      <c r="AC65" s="562"/>
      <c r="AD65" s="679"/>
      <c r="AE65" s="211"/>
      <c r="AF65" s="179"/>
      <c r="AG65" s="179"/>
      <c r="AH65" s="179"/>
      <c r="AI65" s="179"/>
      <c r="AJ65" s="186"/>
      <c r="AK65" s="186"/>
      <c r="AL65" s="186"/>
      <c r="AM65" s="186"/>
      <c r="AN65" s="189"/>
      <c r="AO65" s="189"/>
      <c r="AP65" s="189"/>
      <c r="AQ65" s="189"/>
      <c r="AR65" s="189"/>
      <c r="AS65" s="189"/>
      <c r="AT65" s="190" t="s">
        <v>173</v>
      </c>
      <c r="AU65" s="189"/>
      <c r="AV65" s="189"/>
      <c r="AW65" s="189"/>
      <c r="AX65" s="189"/>
      <c r="AY65" s="189"/>
      <c r="AZ65" s="189"/>
      <c r="BA65" s="189"/>
      <c r="BB65" s="189"/>
      <c r="BC65" s="189"/>
      <c r="BD65" s="189"/>
      <c r="BE65" s="189"/>
      <c r="BF65" s="189"/>
      <c r="BG65" s="189"/>
      <c r="BH65" s="189"/>
      <c r="BI65" s="189"/>
      <c r="BJ65" s="189"/>
      <c r="BK65" s="189"/>
      <c r="BL65" s="189"/>
      <c r="BM65" s="189"/>
      <c r="BN65" s="189"/>
      <c r="BO65" s="189"/>
      <c r="BP65" s="189"/>
      <c r="BQ65" s="189"/>
      <c r="BR65" s="189"/>
      <c r="BS65" s="189"/>
      <c r="BT65" s="189"/>
      <c r="BU65" s="189"/>
      <c r="BV65" s="189"/>
      <c r="BW65" s="189"/>
      <c r="BX65" s="189"/>
      <c r="BY65" s="189"/>
      <c r="BZ65" s="189"/>
      <c r="CA65" s="189"/>
    </row>
    <row r="66" spans="1:118" s="34" customFormat="1">
      <c r="A66" s="555" t="s">
        <v>147</v>
      </c>
      <c r="B66" s="556"/>
      <c r="C66" s="557"/>
      <c r="D66" s="640" t="s">
        <v>788</v>
      </c>
      <c r="E66" s="641"/>
      <c r="F66" s="641"/>
      <c r="G66" s="642"/>
      <c r="H66" s="761" t="s">
        <v>155</v>
      </c>
      <c r="I66" s="762"/>
      <c r="J66" s="763"/>
      <c r="K66" s="62" t="s">
        <v>156</v>
      </c>
      <c r="L66" s="654" t="s">
        <v>174</v>
      </c>
      <c r="M66" s="655"/>
      <c r="N66" s="655"/>
      <c r="O66" s="655"/>
      <c r="P66" s="63">
        <f>INDEX(sys!E35:E37,MATCH(ΥΠΟΛΟΓΙΣΜΟΙ!L66,sys!B35:B37,0))</f>
        <v>1</v>
      </c>
      <c r="Q66" s="64" t="s">
        <v>196</v>
      </c>
      <c r="R66" s="65" t="s">
        <v>193</v>
      </c>
      <c r="S66" s="65" t="s">
        <v>194</v>
      </c>
      <c r="T66" s="66" t="s">
        <v>156</v>
      </c>
      <c r="U66" s="53"/>
      <c r="V66" s="54"/>
      <c r="W66" s="53"/>
      <c r="X66" s="54"/>
      <c r="Y66" s="562"/>
      <c r="Z66" s="562"/>
      <c r="AA66" s="53"/>
      <c r="AB66" s="53"/>
      <c r="AC66" s="53"/>
      <c r="AD66" s="53"/>
      <c r="AE66" s="211"/>
      <c r="AF66" s="179"/>
      <c r="AG66" s="179"/>
      <c r="AH66" s="179"/>
      <c r="AI66" s="179"/>
      <c r="AJ66" s="186"/>
      <c r="AK66" s="186"/>
      <c r="AL66" s="186"/>
      <c r="AM66" s="186"/>
      <c r="AN66" s="189"/>
      <c r="AO66" s="189"/>
      <c r="AP66" s="189"/>
      <c r="AQ66" s="189"/>
      <c r="AR66" s="189"/>
      <c r="AS66" s="189"/>
      <c r="AT66" s="190" t="s">
        <v>175</v>
      </c>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89"/>
      <c r="BR66" s="189"/>
      <c r="BS66" s="189"/>
      <c r="BT66" s="189"/>
      <c r="BU66" s="189"/>
      <c r="BV66" s="189"/>
      <c r="BW66" s="189"/>
      <c r="BX66" s="189"/>
      <c r="BY66" s="189"/>
      <c r="BZ66" s="189"/>
      <c r="CA66" s="189"/>
    </row>
    <row r="67" spans="1:118">
      <c r="A67" s="674" t="s">
        <v>215</v>
      </c>
      <c r="B67" s="675"/>
      <c r="C67" s="126"/>
      <c r="D67" s="640" t="s">
        <v>789</v>
      </c>
      <c r="E67" s="641"/>
      <c r="F67" s="641"/>
      <c r="G67" s="642"/>
      <c r="H67" s="646" t="s">
        <v>157</v>
      </c>
      <c r="I67" s="647"/>
      <c r="J67" s="127">
        <v>100</v>
      </c>
      <c r="K67" s="67" t="str">
        <f>IFERROR(G65*F71*G71*J67/100,"0")</f>
        <v>0</v>
      </c>
      <c r="L67" s="580" t="s">
        <v>177</v>
      </c>
      <c r="M67" s="581"/>
      <c r="N67" s="581"/>
      <c r="O67" s="581"/>
      <c r="P67" s="68">
        <f>INDEX(sys!E40:E41,MATCH(ΥΠΟΛΟΓΙΣΜΟΙ!L67,sys!B40:B41,0))</f>
        <v>1</v>
      </c>
      <c r="Q67" s="69" t="s">
        <v>197</v>
      </c>
      <c r="R67" s="70"/>
      <c r="S67" s="70" t="s">
        <v>195</v>
      </c>
      <c r="T67" s="71" t="s">
        <v>214</v>
      </c>
      <c r="U67" s="53"/>
      <c r="V67" s="54"/>
      <c r="W67" s="53"/>
      <c r="X67" s="54"/>
      <c r="Y67" s="562"/>
      <c r="Z67" s="562"/>
      <c r="AA67" s="53"/>
      <c r="AB67" s="53"/>
      <c r="AC67" s="53"/>
      <c r="AD67" s="53"/>
      <c r="AE67" s="211"/>
      <c r="AF67" s="179"/>
      <c r="AG67" s="179"/>
      <c r="AH67" s="179"/>
      <c r="AI67" s="179"/>
      <c r="AJ67" s="179"/>
      <c r="AK67" s="179"/>
      <c r="AL67" s="179"/>
      <c r="AM67" s="179"/>
      <c r="AN67" s="191"/>
      <c r="AO67" s="191"/>
      <c r="AP67" s="191"/>
      <c r="AQ67" s="191"/>
      <c r="AR67" s="191"/>
      <c r="AS67" s="191"/>
      <c r="AT67" s="190"/>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1"/>
      <c r="BR67" s="191"/>
      <c r="BS67" s="191"/>
      <c r="BT67" s="191"/>
      <c r="BU67" s="191"/>
      <c r="BV67" s="191"/>
      <c r="BW67" s="191"/>
      <c r="BX67" s="191"/>
      <c r="BY67" s="191"/>
      <c r="BZ67" s="191"/>
      <c r="CA67" s="191"/>
    </row>
    <row r="68" spans="1:118">
      <c r="A68" s="576" t="s">
        <v>139</v>
      </c>
      <c r="B68" s="577"/>
      <c r="C68" s="72" t="str">
        <f>IFERROR(INDEX(sys!J3:J7,MATCH(A68,sys!F3:F7,0)),"-")</f>
        <v>-</v>
      </c>
      <c r="D68" s="640" t="s">
        <v>783</v>
      </c>
      <c r="E68" s="641"/>
      <c r="F68" s="641"/>
      <c r="G68" s="642"/>
      <c r="H68" s="635" t="s">
        <v>158</v>
      </c>
      <c r="I68" s="636"/>
      <c r="J68" s="636"/>
      <c r="K68" s="637"/>
      <c r="L68" s="580" t="s">
        <v>180</v>
      </c>
      <c r="M68" s="581"/>
      <c r="N68" s="581"/>
      <c r="O68" s="581"/>
      <c r="P68" s="68">
        <f>INDEX(sys!E44:E45,MATCH(ΥΠΟΛΟΓΙΣΜΟΙ!L68,sys!B44:B45,0))</f>
        <v>1</v>
      </c>
      <c r="Q68" s="437"/>
      <c r="R68" s="438"/>
      <c r="S68" s="438"/>
      <c r="T68" s="439">
        <f>(Q68/1000)*R68*(S68/1000)</f>
        <v>0</v>
      </c>
      <c r="U68" s="53"/>
      <c r="V68" s="54"/>
      <c r="W68" s="53"/>
      <c r="X68" s="54"/>
      <c r="Y68" s="562"/>
      <c r="Z68" s="562"/>
      <c r="AA68" s="53"/>
      <c r="AB68" s="53"/>
      <c r="AC68" s="53"/>
      <c r="AD68" s="53"/>
      <c r="AE68" s="211"/>
      <c r="AF68" s="179"/>
      <c r="AG68" s="179"/>
      <c r="AH68" s="179"/>
      <c r="AI68" s="179"/>
      <c r="AJ68" s="179"/>
      <c r="AK68" s="179"/>
      <c r="AL68" s="179"/>
      <c r="AM68" s="179"/>
      <c r="AN68" s="191"/>
      <c r="AO68" s="191"/>
      <c r="AP68" s="191"/>
      <c r="AQ68" s="191"/>
      <c r="AR68" s="191"/>
      <c r="AS68" s="191"/>
      <c r="AT68" s="190" t="s">
        <v>176</v>
      </c>
      <c r="AU68" s="191"/>
      <c r="AV68" s="191"/>
      <c r="AW68" s="191"/>
      <c r="AX68" s="191"/>
      <c r="AY68" s="191"/>
      <c r="AZ68" s="191"/>
      <c r="BA68" s="191"/>
      <c r="BB68" s="191"/>
      <c r="BC68" s="191"/>
      <c r="BD68" s="191"/>
      <c r="BE68" s="191"/>
      <c r="BF68" s="191"/>
      <c r="BG68" s="191"/>
      <c r="BH68" s="191"/>
      <c r="BI68" s="191"/>
      <c r="BJ68" s="191"/>
      <c r="BK68" s="191"/>
      <c r="BL68" s="191"/>
      <c r="BM68" s="191"/>
      <c r="BN68" s="191"/>
      <c r="BO68" s="191"/>
      <c r="BP68" s="191"/>
      <c r="BQ68" s="191"/>
      <c r="BR68" s="191"/>
      <c r="BS68" s="191"/>
      <c r="BT68" s="191"/>
      <c r="BU68" s="191"/>
      <c r="BV68" s="191"/>
      <c r="BW68" s="191"/>
      <c r="BX68" s="191"/>
      <c r="BY68" s="191"/>
      <c r="BZ68" s="191"/>
      <c r="CA68" s="191"/>
    </row>
    <row r="69" spans="1:118">
      <c r="A69" s="576" t="s">
        <v>140</v>
      </c>
      <c r="B69" s="577"/>
      <c r="C69" s="73" t="str">
        <f>IFERROR(INDEX(sys!D3:D6,MATCH(A69,sys!B3:B6,0)),"-")</f>
        <v>-</v>
      </c>
      <c r="D69" s="640" t="s">
        <v>787</v>
      </c>
      <c r="E69" s="641"/>
      <c r="F69" s="641"/>
      <c r="G69" s="642"/>
      <c r="H69" s="617" t="s">
        <v>165</v>
      </c>
      <c r="I69" s="618"/>
      <c r="J69" s="618"/>
      <c r="K69" s="619"/>
      <c r="L69" s="580" t="s">
        <v>184</v>
      </c>
      <c r="M69" s="581"/>
      <c r="N69" s="581"/>
      <c r="O69" s="581"/>
      <c r="P69" s="582"/>
      <c r="Q69" s="440"/>
      <c r="R69" s="441"/>
      <c r="S69" s="441"/>
      <c r="T69" s="442">
        <f t="shared" ref="T69" si="189">IFERROR((Q69/1000)*R69*(S69/1000),"-")</f>
        <v>0</v>
      </c>
      <c r="U69" s="53"/>
      <c r="V69" s="54"/>
      <c r="W69" s="53"/>
      <c r="X69" s="54"/>
      <c r="Y69" s="53"/>
      <c r="Z69" s="53"/>
      <c r="AA69" s="53"/>
      <c r="AB69" s="53"/>
      <c r="AC69" s="53"/>
      <c r="AD69" s="53"/>
      <c r="AE69" s="211"/>
      <c r="AF69" s="179"/>
      <c r="AG69" s="179"/>
      <c r="AH69" s="179"/>
      <c r="AI69" s="179"/>
      <c r="AJ69" s="179"/>
      <c r="AK69" s="179"/>
      <c r="AL69" s="179"/>
      <c r="AM69" s="179"/>
      <c r="AN69" s="191"/>
      <c r="AO69" s="191"/>
      <c r="AP69" s="191"/>
      <c r="AQ69" s="191"/>
      <c r="AR69" s="191"/>
      <c r="AS69" s="191"/>
      <c r="AT69" s="190" t="s">
        <v>177</v>
      </c>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1"/>
      <c r="BR69" s="191"/>
      <c r="BS69" s="191"/>
      <c r="BT69" s="191"/>
      <c r="BU69" s="191"/>
      <c r="BV69" s="191"/>
      <c r="BW69" s="191"/>
      <c r="BX69" s="191"/>
      <c r="BY69" s="191"/>
      <c r="BZ69" s="191"/>
      <c r="CA69" s="191"/>
      <c r="DN69" s="434" t="s">
        <v>788</v>
      </c>
    </row>
    <row r="70" spans="1:118">
      <c r="A70" s="578" t="s">
        <v>660</v>
      </c>
      <c r="B70" s="579"/>
      <c r="C70" s="126"/>
      <c r="D70" s="638" t="s">
        <v>793</v>
      </c>
      <c r="E70" s="639"/>
      <c r="F70" s="435" t="str">
        <f>IF(D68="Σημανση 811/13 της ΕΕ","nsΑθ :","ngm :")</f>
        <v>ngm :</v>
      </c>
      <c r="G70" s="436"/>
      <c r="H70" s="580" t="s">
        <v>160</v>
      </c>
      <c r="I70" s="581"/>
      <c r="J70" s="581"/>
      <c r="K70" s="582"/>
      <c r="L70" s="580" t="s">
        <v>189</v>
      </c>
      <c r="M70" s="581"/>
      <c r="N70" s="581"/>
      <c r="O70" s="581"/>
      <c r="P70" s="443">
        <f>INDEX(sys!K35:M39,MATCH(ΥΠΟΛΟΓΙΣΜΟΙ!L69,sys!H35:H39,0),MATCH(ΥΠΟΛΟΓΙΣΜΟΙ!L70,sys!K34:M34,0))</f>
        <v>0.93</v>
      </c>
      <c r="Q70" s="643" t="s">
        <v>797</v>
      </c>
      <c r="R70" s="644"/>
      <c r="S70" s="644"/>
      <c r="T70" s="645"/>
      <c r="V70" s="623"/>
      <c r="W70" s="623"/>
      <c r="X70" s="623"/>
      <c r="Y70" s="623"/>
      <c r="Z70" s="623"/>
      <c r="AA70" s="623"/>
      <c r="AB70" s="623"/>
      <c r="AC70" s="623"/>
      <c r="AE70" s="211"/>
      <c r="AF70" s="179"/>
      <c r="AG70" s="179"/>
      <c r="AH70" s="179"/>
      <c r="AI70" s="179"/>
      <c r="AJ70" s="179"/>
      <c r="AK70" s="179"/>
      <c r="AL70" s="179"/>
      <c r="AM70" s="179"/>
      <c r="AN70" s="191"/>
      <c r="AO70" s="191"/>
      <c r="AP70" s="191"/>
      <c r="AQ70" s="191"/>
      <c r="AR70" s="191"/>
      <c r="AS70" s="191"/>
      <c r="AT70" s="190" t="s">
        <v>178</v>
      </c>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1"/>
      <c r="BR70" s="191"/>
      <c r="BS70" s="191"/>
      <c r="BT70" s="191"/>
      <c r="BU70" s="191"/>
      <c r="BV70" s="191"/>
      <c r="BW70" s="191"/>
      <c r="BX70" s="191"/>
      <c r="BY70" s="191"/>
      <c r="BZ70" s="191"/>
      <c r="CA70" s="191"/>
      <c r="DN70" s="434" t="s">
        <v>766</v>
      </c>
    </row>
    <row r="71" spans="1:118">
      <c r="A71" s="578" t="s">
        <v>758</v>
      </c>
      <c r="B71" s="579"/>
      <c r="C71" s="409"/>
      <c r="D71" s="433" t="s">
        <v>794</v>
      </c>
      <c r="E71" s="447" t="str">
        <f>IFERROR(sys!Q301,"-")</f>
        <v>-</v>
      </c>
      <c r="F71" s="452" t="str">
        <f>IFERROR(sys!U310,"ng1")</f>
        <v>ng1</v>
      </c>
      <c r="G71" s="453" t="str">
        <f>IFERROR(sys!T317,"ng2")</f>
        <v>ng2</v>
      </c>
      <c r="H71" s="625" t="s">
        <v>857</v>
      </c>
      <c r="I71" s="626"/>
      <c r="J71" s="626"/>
      <c r="K71" s="627"/>
      <c r="L71" s="628"/>
      <c r="M71" s="629"/>
      <c r="N71" s="629"/>
      <c r="O71" s="629"/>
      <c r="P71" s="630"/>
      <c r="Q71" s="584" t="s">
        <v>798</v>
      </c>
      <c r="R71" s="585"/>
      <c r="S71" s="585"/>
      <c r="T71" s="586"/>
      <c r="V71" s="396"/>
      <c r="W71" s="396"/>
      <c r="X71" s="396"/>
      <c r="Y71" s="396"/>
      <c r="Z71" s="396"/>
      <c r="AA71" s="396"/>
      <c r="AB71" s="396"/>
      <c r="AC71" s="396"/>
      <c r="AE71" s="211"/>
      <c r="AF71" s="179"/>
      <c r="AG71" s="179"/>
      <c r="AH71" s="179"/>
      <c r="AI71" s="179"/>
      <c r="AJ71" s="179"/>
      <c r="AK71" s="179"/>
      <c r="AL71" s="179"/>
      <c r="AM71" s="179"/>
      <c r="AN71" s="191"/>
      <c r="AO71" s="191"/>
      <c r="AP71" s="191"/>
      <c r="AQ71" s="191"/>
      <c r="AR71" s="191"/>
      <c r="AS71" s="191"/>
      <c r="AT71" s="190"/>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1"/>
      <c r="BR71" s="191"/>
      <c r="BS71" s="191"/>
      <c r="BT71" s="191"/>
      <c r="BU71" s="191"/>
      <c r="BV71" s="191"/>
      <c r="BW71" s="191"/>
      <c r="BX71" s="191"/>
      <c r="BY71" s="191"/>
      <c r="BZ71" s="191"/>
      <c r="CA71" s="191"/>
      <c r="DN71" s="434" t="s">
        <v>767</v>
      </c>
    </row>
    <row r="72" spans="1:118">
      <c r="A72" s="600" t="s">
        <v>544</v>
      </c>
      <c r="B72" s="601"/>
      <c r="C72" s="249" t="str">
        <f>IFERROR((C67*C68*C69*1.5/1000)+((C70*0.75*C69+C71*3.08*C69)/3)/1000+K65,"-")</f>
        <v>-</v>
      </c>
      <c r="D72" s="549" t="s">
        <v>795</v>
      </c>
      <c r="E72" s="550"/>
      <c r="F72" s="550"/>
      <c r="G72" s="74" t="str">
        <f>IFERROR(E71*F71*G71,"-")</f>
        <v>-</v>
      </c>
      <c r="H72" s="551" t="s">
        <v>167</v>
      </c>
      <c r="I72" s="552"/>
      <c r="J72" s="552"/>
      <c r="K72" s="535" t="str">
        <f>IFERROR(sys!P28,"-")</f>
        <v>-</v>
      </c>
      <c r="L72" s="621" t="s">
        <v>171</v>
      </c>
      <c r="M72" s="621"/>
      <c r="N72" s="621"/>
      <c r="O72" s="621"/>
      <c r="P72" s="75">
        <f>P70/(P66*P67*P68)</f>
        <v>0.93</v>
      </c>
      <c r="Q72" s="587" t="s">
        <v>799</v>
      </c>
      <c r="R72" s="588"/>
      <c r="S72" s="588"/>
      <c r="T72" s="589"/>
      <c r="AE72" s="211"/>
      <c r="AF72" s="179"/>
      <c r="AG72" s="179"/>
      <c r="AH72" s="179"/>
      <c r="AI72" s="179"/>
      <c r="AJ72" s="179"/>
      <c r="AK72" s="179"/>
      <c r="AL72" s="179"/>
      <c r="AM72" s="179"/>
      <c r="AN72" s="191"/>
      <c r="AO72" s="191"/>
      <c r="AP72" s="191"/>
      <c r="AQ72" s="191"/>
      <c r="AR72" s="191"/>
      <c r="AS72" s="191"/>
      <c r="AT72" s="190"/>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DN72" s="434" t="s">
        <v>768</v>
      </c>
    </row>
    <row r="73" spans="1:118">
      <c r="A73" s="76"/>
      <c r="B73" s="575"/>
      <c r="C73" s="575"/>
      <c r="D73" s="624" t="s">
        <v>796</v>
      </c>
      <c r="E73" s="624"/>
      <c r="F73" s="624"/>
      <c r="G73" s="624"/>
      <c r="H73" s="624"/>
      <c r="I73" s="450" t="str">
        <f>IFERROR(sys!R306,"-")</f>
        <v>-</v>
      </c>
      <c r="J73" s="631" t="str">
        <f>IFERROR(IF(AND(I73&lt;1,I73&gt;0),"συμπληρωση μεχρι το 1 ( "&amp;ROUND(1-I73,2)&amp;" ) με θεωρητικο συστημα θερμανσης",IF(I73=0," ",ROUND((I73-1)*100,0)&amp;" % επιπλέον ισχύς της απαιτούμενης Pgen"))," ")</f>
        <v xml:space="preserve"> </v>
      </c>
      <c r="K73" s="631"/>
      <c r="L73" s="631"/>
      <c r="M73" s="631"/>
      <c r="N73" s="631"/>
      <c r="O73" s="631"/>
      <c r="P73" s="631"/>
      <c r="Q73" s="631"/>
      <c r="R73" s="631"/>
      <c r="S73" s="631"/>
      <c r="T73" s="454"/>
      <c r="U73" s="656" t="s">
        <v>673</v>
      </c>
      <c r="V73" s="657"/>
      <c r="W73" s="657"/>
      <c r="X73" s="657"/>
      <c r="Y73" s="657"/>
      <c r="Z73" s="657"/>
      <c r="AA73" s="657"/>
      <c r="AB73" s="657"/>
      <c r="AC73" s="657"/>
      <c r="AD73" s="658"/>
      <c r="AE73" s="211"/>
      <c r="AF73" s="179"/>
      <c r="AG73" s="179"/>
      <c r="AH73" s="179"/>
      <c r="AI73" s="179"/>
      <c r="AJ73" s="179"/>
      <c r="AK73" s="179"/>
      <c r="AL73" s="179"/>
      <c r="AM73" s="179"/>
      <c r="AN73" s="191"/>
      <c r="AO73" s="191"/>
      <c r="AP73" s="191"/>
      <c r="AQ73" s="191"/>
      <c r="AR73" s="191"/>
      <c r="AS73" s="191"/>
      <c r="AT73" s="190" t="s">
        <v>179</v>
      </c>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1"/>
      <c r="BQ73" s="191"/>
      <c r="BR73" s="191"/>
      <c r="BS73" s="191"/>
      <c r="BT73" s="191"/>
      <c r="BU73" s="191"/>
      <c r="BV73" s="191"/>
      <c r="BW73" s="191"/>
      <c r="BX73" s="191"/>
      <c r="BY73" s="191"/>
      <c r="BZ73" s="191"/>
      <c r="CA73" s="191"/>
      <c r="DN73" s="434" t="s">
        <v>769</v>
      </c>
    </row>
    <row r="74" spans="1:118" ht="14.4" customHeight="1">
      <c r="A74" s="34"/>
      <c r="B74" s="34"/>
      <c r="C74" s="34"/>
      <c r="D74" s="34"/>
      <c r="E74" s="34"/>
      <c r="F74" s="34"/>
      <c r="G74" s="34"/>
      <c r="H74" s="34"/>
      <c r="I74" s="34"/>
      <c r="J74" s="34"/>
      <c r="K74" s="34"/>
      <c r="L74" s="34"/>
      <c r="M74" s="34"/>
      <c r="N74" s="633" t="s">
        <v>831</v>
      </c>
      <c r="O74" s="633"/>
      <c r="P74" s="633"/>
      <c r="Q74" s="633"/>
      <c r="R74" s="633"/>
      <c r="S74" s="633"/>
      <c r="T74" s="634"/>
      <c r="U74" s="656"/>
      <c r="V74" s="657"/>
      <c r="W74" s="657"/>
      <c r="X74" s="657"/>
      <c r="Y74" s="657"/>
      <c r="Z74" s="657"/>
      <c r="AA74" s="657"/>
      <c r="AB74" s="657"/>
      <c r="AC74" s="657"/>
      <c r="AD74" s="658"/>
      <c r="AE74" s="211"/>
      <c r="AF74" s="179"/>
      <c r="AG74" s="179"/>
      <c r="AH74" s="179"/>
      <c r="AI74" s="179"/>
      <c r="AJ74" s="179"/>
      <c r="AK74" s="179"/>
      <c r="AL74" s="179"/>
      <c r="AM74" s="179"/>
      <c r="AN74" s="191"/>
      <c r="AO74" s="191"/>
      <c r="AP74" s="191"/>
      <c r="AQ74" s="191"/>
      <c r="AR74" s="191"/>
      <c r="AS74" s="191"/>
      <c r="AT74" s="190" t="s">
        <v>180</v>
      </c>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1"/>
      <c r="BQ74" s="191"/>
      <c r="BR74" s="191"/>
      <c r="BS74" s="191"/>
      <c r="BT74" s="191"/>
      <c r="BU74" s="191"/>
      <c r="BV74" s="191"/>
      <c r="BW74" s="191"/>
      <c r="BX74" s="191"/>
      <c r="BY74" s="191"/>
      <c r="BZ74" s="191"/>
      <c r="CA74" s="191"/>
      <c r="DN74" s="434" t="s">
        <v>770</v>
      </c>
    </row>
    <row r="75" spans="1:118" ht="14.4" customHeight="1">
      <c r="A75" s="602" t="s">
        <v>849</v>
      </c>
      <c r="B75" s="602"/>
      <c r="C75" s="602"/>
      <c r="D75" s="602"/>
      <c r="E75" s="602"/>
      <c r="F75" s="602"/>
      <c r="G75" s="603"/>
      <c r="H75" s="594" t="s">
        <v>202</v>
      </c>
      <c r="I75" s="595"/>
      <c r="J75" s="594" t="s">
        <v>204</v>
      </c>
      <c r="K75" s="595"/>
      <c r="L75" s="595"/>
      <c r="M75" s="632"/>
      <c r="N75" s="594" t="s">
        <v>206</v>
      </c>
      <c r="O75" s="632"/>
      <c r="P75" s="475"/>
      <c r="Q75" s="831" t="s">
        <v>530</v>
      </c>
      <c r="R75" s="832"/>
      <c r="S75" s="833"/>
      <c r="T75" s="280" t="s">
        <v>298</v>
      </c>
      <c r="U75" s="657"/>
      <c r="V75" s="657"/>
      <c r="W75" s="657"/>
      <c r="X75" s="657"/>
      <c r="Y75" s="657"/>
      <c r="Z75" s="657"/>
      <c r="AA75" s="657"/>
      <c r="AB75" s="657"/>
      <c r="AC75" s="657"/>
      <c r="AD75" s="658"/>
      <c r="AE75" s="211"/>
      <c r="AF75" s="179"/>
      <c r="AG75" s="179"/>
      <c r="AH75" s="179"/>
      <c r="AI75" s="179"/>
      <c r="AJ75" s="179"/>
      <c r="AK75" s="179"/>
      <c r="AL75" s="179"/>
      <c r="AM75" s="179"/>
      <c r="AN75" s="191"/>
      <c r="AO75" s="191"/>
      <c r="AP75" s="191"/>
      <c r="AQ75" s="191"/>
      <c r="AR75" s="191"/>
      <c r="AS75" s="191"/>
      <c r="AT75" s="190" t="s">
        <v>181</v>
      </c>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1"/>
      <c r="BQ75" s="191"/>
      <c r="BR75" s="191"/>
      <c r="BS75" s="191"/>
      <c r="BT75" s="191"/>
      <c r="BU75" s="191"/>
      <c r="BV75" s="191"/>
      <c r="BW75" s="191"/>
      <c r="BX75" s="191"/>
      <c r="BY75" s="191"/>
      <c r="BZ75" s="191"/>
      <c r="CA75" s="191"/>
      <c r="DN75" s="434" t="s">
        <v>771</v>
      </c>
    </row>
    <row r="76" spans="1:118">
      <c r="A76" s="77"/>
      <c r="B76" s="96" t="s">
        <v>4</v>
      </c>
      <c r="C76" s="598" t="s">
        <v>200</v>
      </c>
      <c r="D76" s="599"/>
      <c r="E76" s="599" t="s">
        <v>218</v>
      </c>
      <c r="F76" s="599"/>
      <c r="G76" s="78" t="s">
        <v>201</v>
      </c>
      <c r="H76" s="751" t="s">
        <v>203</v>
      </c>
      <c r="I76" s="752"/>
      <c r="J76" s="615" t="s">
        <v>216</v>
      </c>
      <c r="K76" s="616"/>
      <c r="L76" s="834" t="s">
        <v>205</v>
      </c>
      <c r="M76" s="835"/>
      <c r="N76" s="463" t="s">
        <v>207</v>
      </c>
      <c r="O76" s="158" t="s">
        <v>830</v>
      </c>
      <c r="P76" s="242"/>
      <c r="Q76" s="476" t="s">
        <v>532</v>
      </c>
      <c r="R76" s="479" t="str">
        <f>IF(T75="ΟΧΙ","-",IF(sys!S39=0,"-",sys!S39))</f>
        <v>-</v>
      </c>
      <c r="S76" s="477" t="s">
        <v>536</v>
      </c>
      <c r="T76" s="478" t="str">
        <f>IF(T75="ΟΧΙ","-",IF(sys!U39=0,"-",sys!U39))</f>
        <v>-</v>
      </c>
      <c r="U76" s="657"/>
      <c r="V76" s="657"/>
      <c r="W76" s="657"/>
      <c r="X76" s="657"/>
      <c r="Y76" s="657"/>
      <c r="Z76" s="657"/>
      <c r="AA76" s="657"/>
      <c r="AB76" s="657"/>
      <c r="AC76" s="657"/>
      <c r="AD76" s="658"/>
      <c r="AE76" s="211"/>
      <c r="AF76" s="179"/>
      <c r="AG76" s="179"/>
      <c r="AH76" s="179"/>
      <c r="AI76" s="179"/>
      <c r="AJ76" s="179"/>
      <c r="AK76" s="179"/>
      <c r="AL76" s="179"/>
      <c r="AM76" s="179"/>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1"/>
      <c r="BQ76" s="191"/>
      <c r="BR76" s="191"/>
      <c r="BS76" s="191"/>
      <c r="BT76" s="191"/>
      <c r="BU76" s="191"/>
      <c r="BV76" s="191"/>
      <c r="BW76" s="191"/>
      <c r="BX76" s="191"/>
      <c r="BY76" s="191"/>
      <c r="BZ76" s="191"/>
      <c r="CA76" s="191"/>
      <c r="DN76" s="434" t="s">
        <v>772</v>
      </c>
    </row>
    <row r="77" spans="1:118">
      <c r="A77" s="79">
        <v>1</v>
      </c>
      <c r="B77" s="532"/>
      <c r="C77" s="608"/>
      <c r="D77" s="609"/>
      <c r="E77" s="609"/>
      <c r="F77" s="620"/>
      <c r="G77" s="62" t="str">
        <f>IFERROR(C77/E77,"-")</f>
        <v>-</v>
      </c>
      <c r="H77" s="583"/>
      <c r="I77" s="574"/>
      <c r="J77" s="583"/>
      <c r="K77" s="574"/>
      <c r="L77" s="574"/>
      <c r="M77" s="604"/>
      <c r="N77" s="460" t="str">
        <f>IFERROR(IF(L77&gt;0,L77/H77,(J77*0.000293)/H77)," ")</f>
        <v xml:space="preserve"> </v>
      </c>
      <c r="O77" s="473" t="str">
        <f>IFERROR(0.93*N77," ")</f>
        <v xml:space="preserve"> </v>
      </c>
      <c r="P77" s="243"/>
      <c r="Q77" s="277" t="s">
        <v>538</v>
      </c>
      <c r="R77" s="247"/>
      <c r="S77" s="275" t="s">
        <v>537</v>
      </c>
      <c r="T77" s="278"/>
      <c r="U77" s="657"/>
      <c r="V77" s="657"/>
      <c r="W77" s="657"/>
      <c r="X77" s="657"/>
      <c r="Y77" s="657"/>
      <c r="Z77" s="657"/>
      <c r="AA77" s="657"/>
      <c r="AB77" s="657"/>
      <c r="AC77" s="657"/>
      <c r="AD77" s="658"/>
      <c r="AE77" s="211"/>
      <c r="AF77" s="179"/>
      <c r="AG77" s="179"/>
      <c r="AH77" s="179"/>
      <c r="AI77" s="179"/>
      <c r="AJ77" s="179"/>
      <c r="AK77" s="179"/>
      <c r="AL77" s="179"/>
      <c r="AM77" s="179"/>
      <c r="AN77" s="191"/>
      <c r="AO77" s="191"/>
      <c r="AP77" s="191"/>
      <c r="AQ77" s="191"/>
      <c r="AR77" s="191"/>
      <c r="AS77" s="191"/>
      <c r="AT77" s="190" t="s">
        <v>182</v>
      </c>
      <c r="AU77" s="191"/>
      <c r="AV77" s="191"/>
      <c r="AW77" s="191"/>
      <c r="AX77" s="191"/>
      <c r="AY77" s="191"/>
      <c r="AZ77" s="191"/>
      <c r="BA77" s="191"/>
      <c r="BB77" s="191"/>
      <c r="BC77" s="191"/>
      <c r="BD77" s="191"/>
      <c r="BE77" s="191"/>
      <c r="BF77" s="191"/>
      <c r="BG77" s="191"/>
      <c r="BH77" s="191"/>
      <c r="BI77" s="191"/>
      <c r="BJ77" s="191"/>
      <c r="BK77" s="191"/>
      <c r="BL77" s="191"/>
      <c r="BM77" s="191"/>
      <c r="BN77" s="191"/>
      <c r="BO77" s="191"/>
      <c r="BP77" s="191"/>
      <c r="BQ77" s="191"/>
      <c r="BR77" s="191"/>
      <c r="BS77" s="191"/>
      <c r="BT77" s="191"/>
      <c r="BU77" s="191"/>
      <c r="BV77" s="191"/>
      <c r="BW77" s="191"/>
      <c r="BX77" s="191"/>
      <c r="BY77" s="191"/>
      <c r="BZ77" s="191"/>
      <c r="CA77" s="191"/>
      <c r="DN77" s="434" t="s">
        <v>773</v>
      </c>
    </row>
    <row r="78" spans="1:118">
      <c r="A78" s="80">
        <v>2</v>
      </c>
      <c r="B78" s="533"/>
      <c r="C78" s="583"/>
      <c r="D78" s="574"/>
      <c r="E78" s="574" t="str">
        <f>IF(C78&gt;0,E77,"")</f>
        <v/>
      </c>
      <c r="F78" s="604"/>
      <c r="G78" s="81" t="str">
        <f t="shared" ref="G78:G80" si="190">IFERROR(C78/E78,"-")</f>
        <v>-</v>
      </c>
      <c r="H78" s="583"/>
      <c r="I78" s="574"/>
      <c r="J78" s="583"/>
      <c r="K78" s="574"/>
      <c r="L78" s="574"/>
      <c r="M78" s="604"/>
      <c r="N78" s="458" t="str">
        <f t="shared" ref="N78:N80" si="191">IFERROR(IF(L78&gt;0,L78/H78,(J78*0.000293)/H78)," ")</f>
        <v xml:space="preserve"> </v>
      </c>
      <c r="O78" s="472" t="str">
        <f t="shared" ref="O78:O80" si="192">IFERROR(0.93*N78," ")</f>
        <v xml:space="preserve"> </v>
      </c>
      <c r="P78" s="243"/>
      <c r="Q78" s="276" t="s">
        <v>625</v>
      </c>
      <c r="R78" s="246" t="s">
        <v>375</v>
      </c>
      <c r="S78" s="274" t="s">
        <v>541</v>
      </c>
      <c r="T78" s="279" t="s">
        <v>298</v>
      </c>
      <c r="U78" s="657"/>
      <c r="V78" s="657"/>
      <c r="W78" s="657"/>
      <c r="X78" s="657"/>
      <c r="Y78" s="657"/>
      <c r="Z78" s="657"/>
      <c r="AA78" s="657"/>
      <c r="AB78" s="657"/>
      <c r="AC78" s="657"/>
      <c r="AD78" s="658"/>
      <c r="AE78" s="211"/>
      <c r="AF78" s="179"/>
      <c r="AG78" s="179"/>
      <c r="AH78" s="179"/>
      <c r="AI78" s="179"/>
      <c r="AJ78" s="179"/>
      <c r="AK78" s="179"/>
      <c r="AL78" s="179"/>
      <c r="AM78" s="179"/>
      <c r="AN78" s="191"/>
      <c r="AO78" s="191"/>
      <c r="AP78" s="191"/>
      <c r="AQ78" s="191"/>
      <c r="AR78" s="191"/>
      <c r="AS78" s="191"/>
      <c r="AT78" s="190"/>
      <c r="AU78" s="191"/>
      <c r="AV78" s="191"/>
      <c r="AW78" s="191"/>
      <c r="AX78" s="191"/>
      <c r="AY78" s="191"/>
      <c r="AZ78" s="191"/>
      <c r="BA78" s="191"/>
      <c r="BB78" s="191"/>
      <c r="BC78" s="191"/>
      <c r="BD78" s="191"/>
      <c r="BE78" s="191"/>
      <c r="BF78" s="191"/>
      <c r="BG78" s="191"/>
      <c r="BH78" s="191"/>
      <c r="BI78" s="191"/>
      <c r="BJ78" s="191"/>
      <c r="BK78" s="191"/>
      <c r="BL78" s="191"/>
      <c r="BM78" s="191"/>
      <c r="BN78" s="191"/>
      <c r="BO78" s="191"/>
      <c r="BP78" s="191"/>
      <c r="BQ78" s="191"/>
      <c r="BR78" s="191"/>
      <c r="BS78" s="191"/>
      <c r="BT78" s="191"/>
      <c r="BU78" s="191"/>
      <c r="BV78" s="191"/>
      <c r="BW78" s="191"/>
      <c r="BX78" s="191"/>
      <c r="BY78" s="191"/>
      <c r="BZ78" s="191"/>
      <c r="CA78" s="191"/>
      <c r="DN78" s="434" t="s">
        <v>774</v>
      </c>
    </row>
    <row r="79" spans="1:118">
      <c r="A79" s="80">
        <v>3</v>
      </c>
      <c r="B79" s="533"/>
      <c r="C79" s="583"/>
      <c r="D79" s="574"/>
      <c r="E79" s="574" t="str">
        <f>IF(C79&gt;0,E78,"")</f>
        <v/>
      </c>
      <c r="F79" s="604"/>
      <c r="G79" s="81" t="str">
        <f t="shared" si="190"/>
        <v>-</v>
      </c>
      <c r="H79" s="583"/>
      <c r="I79" s="574"/>
      <c r="J79" s="583"/>
      <c r="K79" s="574"/>
      <c r="L79" s="574"/>
      <c r="M79" s="604"/>
      <c r="N79" s="458" t="str">
        <f t="shared" si="191"/>
        <v xml:space="preserve"> </v>
      </c>
      <c r="O79" s="472" t="str">
        <f t="shared" si="192"/>
        <v xml:space="preserve"> </v>
      </c>
      <c r="P79" s="244"/>
      <c r="Q79" s="606" t="s">
        <v>624</v>
      </c>
      <c r="R79" s="607"/>
      <c r="S79" s="607"/>
      <c r="T79" s="285" t="str">
        <f>IF(T75="ΟΧΙ","-",sys!U42)</f>
        <v>-</v>
      </c>
      <c r="U79" s="657"/>
      <c r="V79" s="657"/>
      <c r="W79" s="657"/>
      <c r="X79" s="657"/>
      <c r="Y79" s="657"/>
      <c r="Z79" s="657"/>
      <c r="AA79" s="657"/>
      <c r="AB79" s="657"/>
      <c r="AC79" s="657"/>
      <c r="AD79" s="658"/>
      <c r="AE79" s="211"/>
      <c r="AF79" s="179"/>
      <c r="AG79" s="179"/>
      <c r="AH79" s="179"/>
      <c r="AI79" s="179"/>
      <c r="AJ79" s="179"/>
      <c r="AK79" s="179"/>
      <c r="AL79" s="179"/>
      <c r="AM79" s="179"/>
      <c r="AN79" s="191"/>
      <c r="AO79" s="191"/>
      <c r="AP79" s="191"/>
      <c r="AQ79" s="191"/>
      <c r="AR79" s="191"/>
      <c r="AS79" s="191"/>
      <c r="AT79" s="190" t="s">
        <v>183</v>
      </c>
      <c r="AU79" s="191"/>
      <c r="AV79" s="191"/>
      <c r="AW79" s="191"/>
      <c r="AX79" s="191"/>
      <c r="AY79" s="191"/>
      <c r="AZ79" s="191"/>
      <c r="BA79" s="191"/>
      <c r="BB79" s="191"/>
      <c r="BC79" s="191"/>
      <c r="BD79" s="191"/>
      <c r="BE79" s="191"/>
      <c r="BF79" s="191"/>
      <c r="BG79" s="191"/>
      <c r="BH79" s="191"/>
      <c r="BI79" s="191"/>
      <c r="BJ79" s="191"/>
      <c r="BK79" s="191"/>
      <c r="BL79" s="191"/>
      <c r="BM79" s="191"/>
      <c r="BN79" s="191"/>
      <c r="BO79" s="191"/>
      <c r="BP79" s="191"/>
      <c r="BQ79" s="191"/>
      <c r="BR79" s="191"/>
      <c r="BS79" s="191"/>
      <c r="BT79" s="191"/>
      <c r="BU79" s="191"/>
      <c r="BV79" s="191"/>
      <c r="BW79" s="191"/>
      <c r="BX79" s="191"/>
      <c r="BY79" s="191"/>
      <c r="BZ79" s="191"/>
      <c r="CA79" s="191"/>
    </row>
    <row r="80" spans="1:118">
      <c r="A80" s="82">
        <v>4</v>
      </c>
      <c r="B80" s="534"/>
      <c r="C80" s="590"/>
      <c r="D80" s="591"/>
      <c r="E80" s="591" t="str">
        <f t="shared" ref="E80" si="193">IF(C80&gt;0,E79,"")</f>
        <v/>
      </c>
      <c r="F80" s="605"/>
      <c r="G80" s="39" t="str">
        <f t="shared" si="190"/>
        <v>-</v>
      </c>
      <c r="H80" s="590"/>
      <c r="I80" s="591"/>
      <c r="J80" s="590"/>
      <c r="K80" s="591"/>
      <c r="L80" s="591"/>
      <c r="M80" s="605"/>
      <c r="N80" s="459" t="str">
        <f t="shared" si="191"/>
        <v xml:space="preserve"> </v>
      </c>
      <c r="O80" s="471" t="str">
        <f t="shared" si="192"/>
        <v xml:space="preserve"> </v>
      </c>
      <c r="P80" s="245"/>
      <c r="Q80" s="596" t="s">
        <v>338</v>
      </c>
      <c r="R80" s="597"/>
      <c r="S80" s="597"/>
      <c r="T80" s="281">
        <f>IF(T75="ΟΧΙ",0,sys!U43)</f>
        <v>0</v>
      </c>
      <c r="U80" s="657"/>
      <c r="V80" s="657"/>
      <c r="W80" s="657"/>
      <c r="X80" s="657"/>
      <c r="Y80" s="657"/>
      <c r="Z80" s="657"/>
      <c r="AA80" s="657"/>
      <c r="AB80" s="657"/>
      <c r="AC80" s="657"/>
      <c r="AD80" s="658"/>
      <c r="AE80" s="211"/>
      <c r="AF80" s="179"/>
      <c r="AG80" s="179"/>
      <c r="AH80" s="179"/>
      <c r="AI80" s="179"/>
      <c r="AJ80" s="179"/>
      <c r="AK80" s="179"/>
      <c r="AL80" s="179"/>
      <c r="AM80" s="179"/>
      <c r="AN80" s="191"/>
      <c r="AO80" s="191"/>
      <c r="AP80" s="191"/>
      <c r="AQ80" s="191"/>
      <c r="AR80" s="191"/>
      <c r="AS80" s="191"/>
      <c r="AT80" s="190" t="s">
        <v>184</v>
      </c>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1"/>
      <c r="BR80" s="191"/>
      <c r="BS80" s="191"/>
      <c r="BT80" s="191"/>
      <c r="BU80" s="191"/>
      <c r="BV80" s="191"/>
      <c r="BW80" s="191"/>
      <c r="BX80" s="191"/>
      <c r="BY80" s="191"/>
      <c r="BZ80" s="191"/>
      <c r="CA80" s="191"/>
      <c r="DN80" s="291" t="s">
        <v>789</v>
      </c>
    </row>
    <row r="81" spans="1:118">
      <c r="A81" s="34"/>
      <c r="B81" s="575" t="s">
        <v>622</v>
      </c>
      <c r="C81" s="575"/>
      <c r="D81" s="575"/>
      <c r="E81" s="575"/>
      <c r="F81" s="575"/>
      <c r="G81" s="575"/>
      <c r="H81" s="575"/>
      <c r="I81" s="575"/>
      <c r="J81" s="575"/>
      <c r="K81" s="575"/>
      <c r="L81" s="575"/>
      <c r="M81" s="575"/>
      <c r="N81" s="575"/>
      <c r="O81" s="575"/>
      <c r="P81" s="34"/>
      <c r="Q81" s="836" t="s">
        <v>623</v>
      </c>
      <c r="R81" s="836"/>
      <c r="S81" s="836"/>
      <c r="T81" s="836"/>
      <c r="U81" s="656"/>
      <c r="V81" s="657"/>
      <c r="W81" s="657"/>
      <c r="X81" s="657"/>
      <c r="Y81" s="657"/>
      <c r="Z81" s="657"/>
      <c r="AA81" s="657"/>
      <c r="AB81" s="657"/>
      <c r="AC81" s="657"/>
      <c r="AD81" s="658"/>
      <c r="AE81" s="211"/>
      <c r="AF81" s="179"/>
      <c r="AG81" s="179"/>
      <c r="AH81" s="179"/>
      <c r="AI81" s="179"/>
      <c r="AJ81" s="179"/>
      <c r="AK81" s="179"/>
      <c r="AL81" s="179"/>
      <c r="AM81" s="179"/>
      <c r="AN81" s="191"/>
      <c r="AO81" s="191"/>
      <c r="AP81" s="191"/>
      <c r="AQ81" s="191"/>
      <c r="AR81" s="191"/>
      <c r="AS81" s="191"/>
      <c r="AT81" s="190" t="s">
        <v>185</v>
      </c>
      <c r="AU81" s="191"/>
      <c r="AV81" s="191"/>
      <c r="AW81" s="191"/>
      <c r="AX81" s="191"/>
      <c r="AY81" s="191"/>
      <c r="AZ81" s="191"/>
      <c r="BA81" s="191"/>
      <c r="BB81" s="191"/>
      <c r="BC81" s="191"/>
      <c r="BD81" s="191"/>
      <c r="BE81" s="191"/>
      <c r="BF81" s="191"/>
      <c r="BG81" s="191"/>
      <c r="BH81" s="191"/>
      <c r="BI81" s="191"/>
      <c r="BJ81" s="191"/>
      <c r="BK81" s="191"/>
      <c r="BL81" s="191"/>
      <c r="BM81" s="191"/>
      <c r="BN81" s="191"/>
      <c r="BO81" s="191"/>
      <c r="BP81" s="191"/>
      <c r="BQ81" s="191"/>
      <c r="BR81" s="191"/>
      <c r="BS81" s="191"/>
      <c r="BT81" s="191"/>
      <c r="BU81" s="191"/>
      <c r="BV81" s="191"/>
      <c r="BW81" s="191"/>
      <c r="BX81" s="191"/>
      <c r="BY81" s="191"/>
      <c r="BZ81" s="191"/>
      <c r="CA81" s="191"/>
      <c r="DN81" s="291" t="s">
        <v>775</v>
      </c>
    </row>
    <row r="82" spans="1:118">
      <c r="A82" s="592" t="s">
        <v>208</v>
      </c>
      <c r="B82" s="593"/>
      <c r="C82" s="593"/>
      <c r="D82" s="34"/>
      <c r="E82" s="34"/>
      <c r="F82" s="34"/>
      <c r="G82" s="34"/>
      <c r="H82" s="34"/>
      <c r="I82" s="34"/>
      <c r="J82" s="34"/>
      <c r="K82" s="34"/>
      <c r="L82" s="34"/>
      <c r="M82" s="34"/>
      <c r="N82" s="906" t="s">
        <v>832</v>
      </c>
      <c r="O82" s="906"/>
      <c r="P82" s="906"/>
      <c r="Q82" s="906"/>
      <c r="R82" s="906"/>
      <c r="S82" s="906"/>
      <c r="T82" s="907"/>
      <c r="U82" s="656"/>
      <c r="V82" s="657"/>
      <c r="W82" s="657"/>
      <c r="X82" s="657"/>
      <c r="Y82" s="657"/>
      <c r="Z82" s="657"/>
      <c r="AA82" s="657"/>
      <c r="AB82" s="657"/>
      <c r="AC82" s="657"/>
      <c r="AD82" s="658"/>
      <c r="AE82" s="211"/>
      <c r="AF82" s="179"/>
      <c r="AG82" s="179"/>
      <c r="AH82" s="179"/>
      <c r="AI82" s="179"/>
      <c r="AJ82" s="179"/>
      <c r="AK82" s="179"/>
      <c r="AL82" s="179"/>
      <c r="AM82" s="179"/>
      <c r="AN82" s="191"/>
      <c r="AO82" s="191"/>
      <c r="AP82" s="191"/>
      <c r="AQ82" s="191"/>
      <c r="AR82" s="191"/>
      <c r="AS82" s="191"/>
      <c r="AT82" s="190" t="s">
        <v>186</v>
      </c>
      <c r="AU82" s="191"/>
      <c r="AV82" s="191"/>
      <c r="AW82" s="191"/>
      <c r="AX82" s="191"/>
      <c r="AY82" s="191"/>
      <c r="AZ82" s="191"/>
      <c r="BA82" s="191"/>
      <c r="BB82" s="191"/>
      <c r="BC82" s="191"/>
      <c r="BD82" s="191"/>
      <c r="BE82" s="191"/>
      <c r="BF82" s="191"/>
      <c r="BG82" s="191"/>
      <c r="BH82" s="191"/>
      <c r="BI82" s="191"/>
      <c r="BJ82" s="191"/>
      <c r="BK82" s="191"/>
      <c r="BL82" s="191"/>
      <c r="BM82" s="191"/>
      <c r="BN82" s="191"/>
      <c r="BO82" s="191"/>
      <c r="BP82" s="191"/>
      <c r="BQ82" s="191"/>
      <c r="BR82" s="191"/>
      <c r="BS82" s="191"/>
      <c r="BT82" s="191"/>
      <c r="BU82" s="191"/>
      <c r="BV82" s="191"/>
      <c r="BW82" s="191"/>
      <c r="BX82" s="191"/>
      <c r="BY82" s="191"/>
      <c r="BZ82" s="191"/>
      <c r="CA82" s="191"/>
      <c r="DN82" s="291" t="s">
        <v>776</v>
      </c>
    </row>
    <row r="83" spans="1:118">
      <c r="A83" s="530" t="s">
        <v>850</v>
      </c>
      <c r="B83" s="530"/>
      <c r="C83" s="530"/>
      <c r="D83" s="530"/>
      <c r="E83" s="530"/>
      <c r="H83" s="594" t="s">
        <v>209</v>
      </c>
      <c r="I83" s="595"/>
      <c r="J83" s="594" t="s">
        <v>210</v>
      </c>
      <c r="K83" s="595"/>
      <c r="L83" s="595"/>
      <c r="M83" s="632"/>
      <c r="N83" s="595" t="s">
        <v>206</v>
      </c>
      <c r="O83" s="595"/>
      <c r="P83" s="917" t="s">
        <v>635</v>
      </c>
      <c r="Q83" s="918"/>
      <c r="R83" s="918"/>
      <c r="S83" s="918"/>
      <c r="T83" s="919"/>
      <c r="U83" s="657"/>
      <c r="V83" s="657"/>
      <c r="W83" s="657"/>
      <c r="X83" s="657"/>
      <c r="Y83" s="657"/>
      <c r="Z83" s="657"/>
      <c r="AA83" s="657"/>
      <c r="AB83" s="657"/>
      <c r="AC83" s="657"/>
      <c r="AD83" s="658"/>
      <c r="AE83" s="211"/>
      <c r="AF83" s="179"/>
      <c r="AG83" s="179"/>
      <c r="AH83" s="179"/>
      <c r="AI83" s="179"/>
      <c r="AJ83" s="179"/>
      <c r="AK83" s="179"/>
      <c r="AL83" s="179"/>
      <c r="AM83" s="179"/>
      <c r="AN83" s="191"/>
      <c r="AO83" s="191"/>
      <c r="AP83" s="191"/>
      <c r="AQ83" s="191"/>
      <c r="AR83" s="191"/>
      <c r="AS83" s="191"/>
      <c r="AT83" s="190" t="s">
        <v>187</v>
      </c>
      <c r="AU83" s="191"/>
      <c r="AV83" s="191"/>
      <c r="AW83" s="191"/>
      <c r="AX83" s="191"/>
      <c r="AY83" s="191"/>
      <c r="AZ83" s="191"/>
      <c r="BA83" s="191"/>
      <c r="BB83" s="191"/>
      <c r="BC83" s="191"/>
      <c r="BD83" s="191"/>
      <c r="BE83" s="191"/>
      <c r="BF83" s="191"/>
      <c r="BG83" s="191"/>
      <c r="BH83" s="191"/>
      <c r="BI83" s="191"/>
      <c r="BJ83" s="191"/>
      <c r="BK83" s="191"/>
      <c r="BL83" s="191"/>
      <c r="BM83" s="191"/>
      <c r="BN83" s="191"/>
      <c r="BO83" s="191"/>
      <c r="BP83" s="191"/>
      <c r="BQ83" s="191"/>
      <c r="BR83" s="191"/>
      <c r="BS83" s="191"/>
      <c r="BT83" s="191"/>
      <c r="BU83" s="191"/>
      <c r="BV83" s="191"/>
      <c r="BW83" s="191"/>
      <c r="BX83" s="191"/>
      <c r="BY83" s="191"/>
      <c r="BZ83" s="191"/>
      <c r="CA83" s="191"/>
      <c r="DN83" s="291" t="s">
        <v>777</v>
      </c>
    </row>
    <row r="84" spans="1:118">
      <c r="A84" s="77"/>
      <c r="B84" s="96" t="s">
        <v>4</v>
      </c>
      <c r="C84" s="598" t="s">
        <v>626</v>
      </c>
      <c r="D84" s="599"/>
      <c r="E84" s="599" t="s">
        <v>218</v>
      </c>
      <c r="F84" s="599"/>
      <c r="G84" s="78" t="s">
        <v>627</v>
      </c>
      <c r="H84" s="751" t="s">
        <v>203</v>
      </c>
      <c r="I84" s="752"/>
      <c r="J84" s="615" t="s">
        <v>216</v>
      </c>
      <c r="K84" s="616"/>
      <c r="L84" s="834" t="s">
        <v>205</v>
      </c>
      <c r="M84" s="835"/>
      <c r="N84" s="463" t="s">
        <v>211</v>
      </c>
      <c r="O84" s="158" t="s">
        <v>829</v>
      </c>
      <c r="P84" s="861" t="s">
        <v>628</v>
      </c>
      <c r="Q84" s="862"/>
      <c r="R84" s="862"/>
      <c r="S84" s="862"/>
      <c r="T84" s="863"/>
      <c r="U84" s="657"/>
      <c r="V84" s="657"/>
      <c r="W84" s="657"/>
      <c r="X84" s="657"/>
      <c r="Y84" s="657"/>
      <c r="Z84" s="657"/>
      <c r="AA84" s="657"/>
      <c r="AB84" s="657"/>
      <c r="AC84" s="657"/>
      <c r="AD84" s="658"/>
      <c r="AE84" s="211"/>
      <c r="AF84" s="179"/>
      <c r="AG84" s="179"/>
      <c r="AH84" s="179"/>
      <c r="AI84" s="179"/>
      <c r="AJ84" s="179"/>
      <c r="AK84" s="179"/>
      <c r="AL84" s="179"/>
      <c r="AM84" s="179"/>
      <c r="AN84" s="191"/>
      <c r="AO84" s="191"/>
      <c r="AP84" s="191"/>
      <c r="AQ84" s="191"/>
      <c r="AR84" s="191"/>
      <c r="AS84" s="191"/>
      <c r="AT84" s="190"/>
      <c r="AU84" s="191"/>
      <c r="AV84" s="191"/>
      <c r="AW84" s="191"/>
      <c r="AX84" s="191"/>
      <c r="AY84" s="191"/>
      <c r="AZ84" s="191"/>
      <c r="BA84" s="191"/>
      <c r="BB84" s="191"/>
      <c r="BC84" s="191"/>
      <c r="BD84" s="191"/>
      <c r="BE84" s="191"/>
      <c r="BF84" s="191"/>
      <c r="BG84" s="191"/>
      <c r="BH84" s="191"/>
      <c r="BI84" s="191"/>
      <c r="BJ84" s="191"/>
      <c r="BK84" s="191"/>
      <c r="BL84" s="191"/>
      <c r="BM84" s="191"/>
      <c r="BN84" s="191"/>
      <c r="BO84" s="191"/>
      <c r="BP84" s="191"/>
      <c r="BQ84" s="191"/>
      <c r="BR84" s="191"/>
      <c r="BS84" s="191"/>
      <c r="BT84" s="191"/>
      <c r="BU84" s="191"/>
      <c r="BV84" s="191"/>
      <c r="BW84" s="191"/>
      <c r="BX84" s="191"/>
      <c r="BY84" s="191"/>
      <c r="BZ84" s="191"/>
      <c r="CA84" s="191"/>
      <c r="DN84" s="291" t="s">
        <v>778</v>
      </c>
    </row>
    <row r="85" spans="1:118">
      <c r="A85" s="79">
        <v>1</v>
      </c>
      <c r="B85" s="532"/>
      <c r="C85" s="608"/>
      <c r="D85" s="609"/>
      <c r="E85" s="609"/>
      <c r="F85" s="609"/>
      <c r="G85" s="62" t="str">
        <f>IFERROR(C85/E85,"0")</f>
        <v>0</v>
      </c>
      <c r="H85" s="583"/>
      <c r="I85" s="574"/>
      <c r="J85" s="583"/>
      <c r="K85" s="574"/>
      <c r="L85" s="574"/>
      <c r="M85" s="604"/>
      <c r="N85" s="460" t="str">
        <f>IFERROR(IF(L85&gt;0,L85/H85,(J85*0.000293)/H85)," ")</f>
        <v xml:space="preserve"> </v>
      </c>
      <c r="O85" s="473" t="str">
        <f>IFERROR(0.6*N85," ")</f>
        <v xml:space="preserve"> </v>
      </c>
      <c r="P85" s="861" t="s">
        <v>821</v>
      </c>
      <c r="Q85" s="862"/>
      <c r="R85" s="862"/>
      <c r="S85" s="862"/>
      <c r="T85" s="863"/>
      <c r="U85" s="657"/>
      <c r="V85" s="657"/>
      <c r="W85" s="657"/>
      <c r="X85" s="657"/>
      <c r="Y85" s="657"/>
      <c r="Z85" s="657"/>
      <c r="AA85" s="657"/>
      <c r="AB85" s="657"/>
      <c r="AC85" s="657"/>
      <c r="AD85" s="658"/>
      <c r="AE85" s="211"/>
      <c r="AF85" s="179"/>
      <c r="AG85" s="179"/>
      <c r="AH85" s="179"/>
      <c r="AI85" s="179"/>
      <c r="AJ85" s="179"/>
      <c r="AK85" s="179"/>
      <c r="AL85" s="179"/>
      <c r="AM85" s="179"/>
      <c r="AN85" s="191"/>
      <c r="AO85" s="191"/>
      <c r="AP85" s="191"/>
      <c r="AQ85" s="191"/>
      <c r="AR85" s="191"/>
      <c r="AS85" s="191"/>
      <c r="AT85" s="190" t="s">
        <v>188</v>
      </c>
      <c r="AU85" s="191"/>
      <c r="AV85" s="191"/>
      <c r="AW85" s="191"/>
      <c r="AX85" s="191"/>
      <c r="AY85" s="191"/>
      <c r="AZ85" s="191"/>
      <c r="BA85" s="191"/>
      <c r="BB85" s="191"/>
      <c r="BC85" s="191"/>
      <c r="BD85" s="191"/>
      <c r="BE85" s="191"/>
      <c r="BF85" s="191"/>
      <c r="BG85" s="191"/>
      <c r="BH85" s="191"/>
      <c r="BI85" s="191"/>
      <c r="BJ85" s="191"/>
      <c r="BK85" s="191"/>
      <c r="BL85" s="191"/>
      <c r="BM85" s="191"/>
      <c r="BN85" s="191"/>
      <c r="BO85" s="191"/>
      <c r="BP85" s="191"/>
      <c r="BQ85" s="191"/>
      <c r="BR85" s="191"/>
      <c r="BS85" s="191"/>
      <c r="BT85" s="191"/>
      <c r="BU85" s="191"/>
      <c r="BV85" s="191"/>
      <c r="BW85" s="191"/>
      <c r="BX85" s="191"/>
      <c r="BY85" s="191"/>
      <c r="BZ85" s="191"/>
      <c r="CA85" s="191"/>
      <c r="DN85" s="291" t="s">
        <v>779</v>
      </c>
    </row>
    <row r="86" spans="1:118">
      <c r="A86" s="80">
        <v>2</v>
      </c>
      <c r="B86" s="533"/>
      <c r="C86" s="871"/>
      <c r="D86" s="574"/>
      <c r="E86" s="574" t="str">
        <f>IF(C86&gt;0,E85,"")</f>
        <v/>
      </c>
      <c r="F86" s="574"/>
      <c r="G86" s="81" t="str">
        <f>IFERROR(C86/E86,"0")</f>
        <v>0</v>
      </c>
      <c r="H86" s="583"/>
      <c r="I86" s="574"/>
      <c r="J86" s="583"/>
      <c r="K86" s="574"/>
      <c r="L86" s="574"/>
      <c r="M86" s="604"/>
      <c r="N86" s="472" t="str">
        <f t="shared" ref="N86:N89" si="194">IFERROR(IF(L86&gt;0,L86/H86,(J86*0.000293)/H86)," ")</f>
        <v xml:space="preserve"> </v>
      </c>
      <c r="O86" s="472" t="str">
        <f t="shared" ref="O86:O89" si="195">IFERROR(0.6*N86," ")</f>
        <v xml:space="preserve"> </v>
      </c>
      <c r="P86" s="861" t="s">
        <v>629</v>
      </c>
      <c r="Q86" s="862"/>
      <c r="R86" s="862"/>
      <c r="S86" s="862"/>
      <c r="T86" s="863"/>
      <c r="U86" s="657"/>
      <c r="V86" s="657"/>
      <c r="W86" s="657"/>
      <c r="X86" s="657"/>
      <c r="Y86" s="657"/>
      <c r="Z86" s="657"/>
      <c r="AA86" s="657"/>
      <c r="AB86" s="657"/>
      <c r="AC86" s="657"/>
      <c r="AD86" s="658"/>
      <c r="AE86" s="211"/>
      <c r="AF86" s="179"/>
      <c r="AG86" s="179"/>
      <c r="AH86" s="179"/>
      <c r="AI86" s="179"/>
      <c r="AJ86" s="179"/>
      <c r="AK86" s="179"/>
      <c r="AL86" s="179"/>
      <c r="AM86" s="179"/>
      <c r="AN86" s="191"/>
      <c r="AO86" s="191"/>
      <c r="AP86" s="191"/>
      <c r="AQ86" s="191"/>
      <c r="AR86" s="191"/>
      <c r="AS86" s="191"/>
      <c r="AT86" s="190" t="s">
        <v>189</v>
      </c>
      <c r="AU86" s="191"/>
      <c r="AV86" s="191"/>
      <c r="AW86" s="191"/>
      <c r="AX86" s="191"/>
      <c r="AY86" s="191"/>
      <c r="AZ86" s="191"/>
      <c r="BA86" s="191"/>
      <c r="BB86" s="191"/>
      <c r="BC86" s="191"/>
      <c r="BD86" s="191"/>
      <c r="BE86" s="191"/>
      <c r="BF86" s="191"/>
      <c r="BG86" s="191"/>
      <c r="BH86" s="191"/>
      <c r="BI86" s="191"/>
      <c r="BJ86" s="191"/>
      <c r="BK86" s="191"/>
      <c r="BL86" s="191"/>
      <c r="BM86" s="191"/>
      <c r="BN86" s="191"/>
      <c r="BO86" s="191"/>
      <c r="BP86" s="191"/>
      <c r="BQ86" s="191"/>
      <c r="BR86" s="191"/>
      <c r="BS86" s="191"/>
      <c r="BT86" s="191"/>
      <c r="BU86" s="191"/>
      <c r="BV86" s="191"/>
      <c r="BW86" s="191"/>
      <c r="BX86" s="191"/>
      <c r="BY86" s="191"/>
      <c r="BZ86" s="191"/>
      <c r="CA86" s="191"/>
      <c r="DN86" s="291" t="s">
        <v>780</v>
      </c>
    </row>
    <row r="87" spans="1:118">
      <c r="A87" s="80">
        <v>3</v>
      </c>
      <c r="B87" s="533"/>
      <c r="C87" s="872"/>
      <c r="D87" s="574"/>
      <c r="E87" s="574" t="str">
        <f t="shared" ref="E87:E88" si="196">IF(C87&gt;0,E86,"")</f>
        <v/>
      </c>
      <c r="F87" s="574"/>
      <c r="G87" s="81" t="str">
        <f t="shared" ref="G87:G89" si="197">IFERROR(C87/E87,"0")</f>
        <v>0</v>
      </c>
      <c r="H87" s="583"/>
      <c r="I87" s="574"/>
      <c r="J87" s="583"/>
      <c r="K87" s="574"/>
      <c r="L87" s="574"/>
      <c r="M87" s="604"/>
      <c r="N87" s="472" t="str">
        <f t="shared" si="194"/>
        <v xml:space="preserve"> </v>
      </c>
      <c r="O87" s="472" t="str">
        <f t="shared" si="195"/>
        <v xml:space="preserve"> </v>
      </c>
      <c r="P87" s="837" t="s">
        <v>630</v>
      </c>
      <c r="Q87" s="838"/>
      <c r="R87" s="838"/>
      <c r="S87" s="838"/>
      <c r="T87" s="839"/>
      <c r="U87" s="657"/>
      <c r="V87" s="657"/>
      <c r="W87" s="657"/>
      <c r="X87" s="657"/>
      <c r="Y87" s="657"/>
      <c r="Z87" s="657"/>
      <c r="AA87" s="657"/>
      <c r="AB87" s="657"/>
      <c r="AC87" s="657"/>
      <c r="AD87" s="658"/>
      <c r="AE87" s="211"/>
      <c r="AF87" s="179"/>
      <c r="AG87" s="179"/>
      <c r="AH87" s="179"/>
      <c r="AI87" s="179"/>
      <c r="AJ87" s="179"/>
      <c r="AK87" s="179"/>
      <c r="AL87" s="179"/>
      <c r="AM87" s="179"/>
      <c r="AN87" s="191"/>
      <c r="AO87" s="191"/>
      <c r="AP87" s="191"/>
      <c r="AQ87" s="191"/>
      <c r="AR87" s="191"/>
      <c r="AS87" s="191"/>
      <c r="AT87" s="190"/>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1"/>
      <c r="BR87" s="191"/>
      <c r="BS87" s="191"/>
      <c r="BT87" s="191"/>
      <c r="BU87" s="191"/>
      <c r="BV87" s="191"/>
      <c r="BW87" s="191"/>
      <c r="BX87" s="191"/>
      <c r="BY87" s="191"/>
      <c r="BZ87" s="191"/>
      <c r="CA87" s="191"/>
    </row>
    <row r="88" spans="1:118">
      <c r="A88" s="80">
        <v>4</v>
      </c>
      <c r="B88" s="533"/>
      <c r="C88" s="583"/>
      <c r="D88" s="574"/>
      <c r="E88" s="574" t="str">
        <f t="shared" si="196"/>
        <v/>
      </c>
      <c r="F88" s="574"/>
      <c r="G88" s="81" t="str">
        <f t="shared" si="197"/>
        <v>0</v>
      </c>
      <c r="H88" s="583"/>
      <c r="I88" s="574"/>
      <c r="J88" s="583"/>
      <c r="K88" s="574"/>
      <c r="L88" s="574"/>
      <c r="M88" s="604"/>
      <c r="N88" s="472" t="str">
        <f t="shared" si="194"/>
        <v xml:space="preserve"> </v>
      </c>
      <c r="O88" s="472" t="str">
        <f t="shared" si="195"/>
        <v xml:space="preserve"> </v>
      </c>
      <c r="P88" s="837" t="s">
        <v>631</v>
      </c>
      <c r="Q88" s="838"/>
      <c r="R88" s="838"/>
      <c r="S88" s="838"/>
      <c r="T88" s="839"/>
      <c r="U88" s="657"/>
      <c r="V88" s="657"/>
      <c r="W88" s="657"/>
      <c r="X88" s="657"/>
      <c r="Y88" s="657"/>
      <c r="Z88" s="657"/>
      <c r="AA88" s="657"/>
      <c r="AB88" s="657"/>
      <c r="AC88" s="657"/>
      <c r="AD88" s="658"/>
      <c r="AE88" s="211"/>
      <c r="AF88" s="179"/>
      <c r="AG88" s="179"/>
      <c r="AH88" s="179"/>
      <c r="AI88" s="179"/>
      <c r="AJ88" s="179"/>
      <c r="AK88" s="179"/>
      <c r="AL88" s="179"/>
      <c r="AM88" s="179"/>
      <c r="AN88" s="191"/>
      <c r="AO88" s="191"/>
      <c r="AP88" s="191"/>
      <c r="AQ88" s="191"/>
      <c r="AR88" s="191"/>
      <c r="AS88" s="191"/>
      <c r="AT88" s="190" t="s">
        <v>190</v>
      </c>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191"/>
      <c r="BQ88" s="191"/>
      <c r="BR88" s="191"/>
      <c r="BS88" s="191"/>
      <c r="BT88" s="191"/>
      <c r="BU88" s="191"/>
      <c r="BV88" s="191"/>
      <c r="BW88" s="191"/>
      <c r="BX88" s="191"/>
      <c r="BY88" s="191"/>
      <c r="BZ88" s="191"/>
      <c r="CA88" s="191"/>
      <c r="DN88" s="291" t="s">
        <v>783</v>
      </c>
    </row>
    <row r="89" spans="1:118">
      <c r="A89" s="82">
        <v>5</v>
      </c>
      <c r="B89" s="534"/>
      <c r="C89" s="590"/>
      <c r="D89" s="591"/>
      <c r="E89" s="574" t="str">
        <f>IF(C89&gt;0,E88,"")</f>
        <v/>
      </c>
      <c r="F89" s="574"/>
      <c r="G89" s="81" t="str">
        <f t="shared" si="197"/>
        <v>0</v>
      </c>
      <c r="H89" s="590"/>
      <c r="I89" s="591"/>
      <c r="J89" s="590"/>
      <c r="K89" s="591"/>
      <c r="L89" s="591"/>
      <c r="M89" s="605"/>
      <c r="N89" s="471" t="str">
        <f t="shared" si="194"/>
        <v xml:space="preserve"> </v>
      </c>
      <c r="O89" s="471" t="str">
        <f t="shared" si="195"/>
        <v xml:space="preserve"> </v>
      </c>
      <c r="P89" s="847" t="s">
        <v>632</v>
      </c>
      <c r="Q89" s="848"/>
      <c r="R89" s="848"/>
      <c r="S89" s="848"/>
      <c r="T89" s="849"/>
      <c r="U89" s="657"/>
      <c r="V89" s="657"/>
      <c r="W89" s="657"/>
      <c r="X89" s="657"/>
      <c r="Y89" s="657"/>
      <c r="Z89" s="657"/>
      <c r="AA89" s="657"/>
      <c r="AB89" s="657"/>
      <c r="AC89" s="657"/>
      <c r="AD89" s="658"/>
      <c r="AE89" s="211"/>
      <c r="AF89" s="179"/>
      <c r="AG89" s="179"/>
      <c r="AH89" s="179"/>
      <c r="AI89" s="179"/>
      <c r="AJ89" s="179"/>
      <c r="AK89" s="179"/>
      <c r="AL89" s="179"/>
      <c r="AM89" s="179"/>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1"/>
      <c r="BR89" s="191"/>
      <c r="BS89" s="191"/>
      <c r="BT89" s="191"/>
      <c r="BU89" s="191"/>
      <c r="BV89" s="191"/>
      <c r="BW89" s="191"/>
      <c r="BX89" s="191"/>
      <c r="BY89" s="191"/>
      <c r="BZ89" s="191"/>
      <c r="CA89" s="191"/>
      <c r="DN89" s="291" t="s">
        <v>784</v>
      </c>
    </row>
    <row r="90" spans="1:118">
      <c r="A90" s="782" t="s">
        <v>633</v>
      </c>
      <c r="B90" s="783"/>
      <c r="C90" s="783"/>
      <c r="D90" s="783"/>
      <c r="E90" s="783"/>
      <c r="F90" s="784"/>
      <c r="G90" s="83">
        <f>G85+G86+G88+G89+G87</f>
        <v>0</v>
      </c>
      <c r="H90" s="867" t="str">
        <f>IF(F8="[χρηση κτιριου ή κτιριακης μοναδας]","  δεν εχει οριστει η χρηση στα γενικα στοιχεια",IF(F8="μονοκατοικια, πολυκατοικια",IF(G90&lt;0.5,"  απαιτειται θεωρητικο συστημα με βαθμο καλυψης "&amp;ROUND(0.5-G90,2),"  δεν απαιτειται θεωρητικο συστημα, βαθμος καλυψης ≥0,5"),IF(G90=1,"  δεν απαιτειται θεωρητικο συστημα, βαθμος καλυψης 1,0","  απαιτειται θεωρητικο συστημα με βαθμο καλυψης "&amp;ROUND(1-G90,2))))</f>
        <v xml:space="preserve">  δεν εχει οριστει η χρηση στα γενικα στοιχεια</v>
      </c>
      <c r="I90" s="868"/>
      <c r="J90" s="868"/>
      <c r="K90" s="868"/>
      <c r="L90" s="868"/>
      <c r="M90" s="868"/>
      <c r="N90" s="868"/>
      <c r="O90" s="869"/>
      <c r="P90" s="910" t="s">
        <v>634</v>
      </c>
      <c r="Q90" s="911"/>
      <c r="R90" s="911"/>
      <c r="S90" s="911"/>
      <c r="T90" s="912"/>
      <c r="U90" s="657"/>
      <c r="V90" s="657"/>
      <c r="W90" s="657"/>
      <c r="X90" s="657"/>
      <c r="Y90" s="657"/>
      <c r="Z90" s="657"/>
      <c r="AA90" s="657"/>
      <c r="AB90" s="657"/>
      <c r="AC90" s="657"/>
      <c r="AD90" s="658"/>
      <c r="AE90" s="211"/>
      <c r="AF90" s="179"/>
      <c r="AG90" s="179"/>
      <c r="AH90" s="179"/>
      <c r="AI90" s="179"/>
      <c r="AJ90" s="179"/>
      <c r="AK90" s="179"/>
      <c r="AL90" s="179"/>
      <c r="AM90" s="179"/>
      <c r="AN90" s="191"/>
      <c r="AO90" s="191"/>
      <c r="AP90" s="191"/>
      <c r="AQ90" s="191"/>
      <c r="AR90" s="191"/>
      <c r="AS90" s="191"/>
      <c r="AT90" s="191"/>
      <c r="AU90" s="191"/>
      <c r="AV90" s="191"/>
      <c r="AW90" s="191"/>
      <c r="AX90" s="191"/>
      <c r="AY90" s="191"/>
      <c r="AZ90" s="191"/>
      <c r="BA90" s="191"/>
      <c r="BB90" s="191"/>
      <c r="BC90" s="191"/>
      <c r="BD90" s="191"/>
      <c r="BE90" s="191"/>
      <c r="BF90" s="191"/>
      <c r="BG90" s="191"/>
      <c r="BH90" s="191"/>
      <c r="BI90" s="191"/>
      <c r="BJ90" s="191"/>
      <c r="BK90" s="191"/>
      <c r="BL90" s="191"/>
      <c r="BM90" s="191"/>
      <c r="BN90" s="191"/>
      <c r="BO90" s="191"/>
      <c r="BP90" s="191"/>
      <c r="BQ90" s="191"/>
      <c r="BR90" s="191"/>
      <c r="BS90" s="191"/>
      <c r="BT90" s="191"/>
      <c r="BU90" s="191"/>
      <c r="BV90" s="191"/>
      <c r="BW90" s="191"/>
      <c r="BX90" s="191"/>
      <c r="BY90" s="191"/>
      <c r="BZ90" s="191"/>
      <c r="CA90" s="191"/>
      <c r="DN90" s="291" t="s">
        <v>785</v>
      </c>
    </row>
    <row r="91" spans="1:118">
      <c r="A91" s="870" t="s">
        <v>822</v>
      </c>
      <c r="B91" s="870"/>
      <c r="C91" s="870"/>
      <c r="D91" s="870"/>
      <c r="E91" s="870"/>
      <c r="F91" s="870"/>
      <c r="G91" s="870"/>
      <c r="H91" s="870"/>
      <c r="I91" s="870"/>
      <c r="J91" s="870"/>
      <c r="K91" s="870"/>
      <c r="L91" s="870"/>
      <c r="M91" s="870"/>
      <c r="N91" s="870"/>
      <c r="O91" s="870"/>
      <c r="P91" s="870"/>
      <c r="Q91" s="870"/>
      <c r="R91" s="870"/>
      <c r="S91" s="870"/>
      <c r="T91" s="870"/>
      <c r="U91" s="657"/>
      <c r="V91" s="657"/>
      <c r="W91" s="657"/>
      <c r="X91" s="657"/>
      <c r="Y91" s="657"/>
      <c r="Z91" s="657"/>
      <c r="AA91" s="657"/>
      <c r="AB91" s="657"/>
      <c r="AC91" s="657"/>
      <c r="AD91" s="658"/>
      <c r="AE91" s="211"/>
      <c r="AF91" s="179"/>
      <c r="AG91" s="179"/>
      <c r="AH91" s="179"/>
      <c r="AI91" s="179"/>
      <c r="AJ91" s="179"/>
      <c r="AK91" s="179"/>
      <c r="AL91" s="179"/>
      <c r="AM91" s="179"/>
      <c r="AN91" s="191"/>
      <c r="AO91" s="191"/>
      <c r="AP91" s="191"/>
      <c r="AQ91" s="191"/>
      <c r="AR91" s="191"/>
      <c r="AS91" s="191"/>
      <c r="AT91" s="191"/>
      <c r="AU91" s="191"/>
      <c r="AV91" s="191"/>
      <c r="AW91" s="191"/>
      <c r="AX91" s="191"/>
      <c r="AY91" s="191"/>
      <c r="AZ91" s="191"/>
      <c r="BA91" s="191"/>
      <c r="BB91" s="191"/>
      <c r="BC91" s="191"/>
      <c r="BD91" s="191"/>
      <c r="BE91" s="191"/>
      <c r="BF91" s="191"/>
      <c r="BG91" s="191"/>
      <c r="BH91" s="191"/>
      <c r="BI91" s="191"/>
      <c r="BJ91" s="191"/>
      <c r="BK91" s="191"/>
      <c r="BL91" s="191"/>
      <c r="BM91" s="191"/>
      <c r="BN91" s="191"/>
      <c r="BO91" s="191"/>
      <c r="BP91" s="191"/>
      <c r="BQ91" s="191"/>
      <c r="BR91" s="191"/>
      <c r="BS91" s="191"/>
      <c r="BT91" s="191"/>
      <c r="BU91" s="191"/>
      <c r="BV91" s="191"/>
      <c r="BW91" s="191"/>
      <c r="BX91" s="191"/>
      <c r="BY91" s="191"/>
      <c r="BZ91" s="191"/>
      <c r="CA91" s="191"/>
      <c r="DN91" s="291" t="s">
        <v>786</v>
      </c>
    </row>
    <row r="92" spans="1:118">
      <c r="T92" s="455"/>
      <c r="U92" s="656"/>
      <c r="V92" s="657"/>
      <c r="W92" s="657"/>
      <c r="X92" s="657"/>
      <c r="Y92" s="657"/>
      <c r="Z92" s="657"/>
      <c r="AA92" s="657"/>
      <c r="AB92" s="657"/>
      <c r="AC92" s="657"/>
      <c r="AD92" s="658"/>
      <c r="AE92" s="211"/>
      <c r="AF92" s="179"/>
      <c r="AG92" s="179"/>
      <c r="AH92" s="179"/>
      <c r="AI92" s="179"/>
      <c r="AJ92" s="179"/>
      <c r="AK92" s="179"/>
      <c r="AL92" s="179"/>
      <c r="AM92" s="179"/>
      <c r="AN92" s="191"/>
      <c r="AO92" s="191"/>
      <c r="AP92" s="191"/>
      <c r="AQ92" s="191"/>
      <c r="AR92" s="191"/>
      <c r="AS92" s="191"/>
      <c r="AT92" s="191"/>
      <c r="AU92" s="191"/>
      <c r="AV92" s="191"/>
      <c r="AW92" s="191"/>
      <c r="AX92" s="191"/>
      <c r="AY92" s="191"/>
      <c r="AZ92" s="191"/>
      <c r="BA92" s="191"/>
      <c r="BB92" s="191"/>
      <c r="BC92" s="191"/>
      <c r="BD92" s="191"/>
      <c r="BE92" s="191"/>
      <c r="BF92" s="191"/>
      <c r="BG92" s="191"/>
      <c r="BH92" s="191"/>
      <c r="BI92" s="191"/>
      <c r="BJ92" s="191"/>
      <c r="BK92" s="191"/>
      <c r="BL92" s="191"/>
      <c r="BM92" s="191"/>
      <c r="BN92" s="191"/>
      <c r="BO92" s="191"/>
      <c r="BP92" s="191"/>
      <c r="BQ92" s="191"/>
      <c r="BR92" s="191"/>
      <c r="BS92" s="191"/>
      <c r="BT92" s="191"/>
      <c r="BU92" s="191"/>
      <c r="BV92" s="191"/>
      <c r="BW92" s="191"/>
      <c r="BX92" s="191"/>
      <c r="BY92" s="191"/>
      <c r="BZ92" s="191"/>
      <c r="CA92" s="191"/>
      <c r="DN92" s="291"/>
    </row>
    <row r="93" spans="1:118" ht="14.4" customHeight="1">
      <c r="A93" s="747" t="s">
        <v>212</v>
      </c>
      <c r="B93" s="748"/>
      <c r="C93" s="748"/>
      <c r="F93" s="594" t="s">
        <v>220</v>
      </c>
      <c r="G93" s="632"/>
      <c r="H93" s="594" t="s">
        <v>222</v>
      </c>
      <c r="I93" s="595"/>
      <c r="J93" s="632"/>
      <c r="K93" s="594" t="s">
        <v>192</v>
      </c>
      <c r="L93" s="595"/>
      <c r="M93" s="595"/>
      <c r="N93" s="632"/>
      <c r="O93" s="852" t="s">
        <v>840</v>
      </c>
      <c r="P93" s="853"/>
      <c r="Q93" s="853"/>
      <c r="R93" s="853"/>
      <c r="S93" s="853"/>
      <c r="T93" s="854"/>
      <c r="U93" s="657"/>
      <c r="V93" s="657"/>
      <c r="W93" s="657"/>
      <c r="X93" s="657"/>
      <c r="Y93" s="657"/>
      <c r="Z93" s="657"/>
      <c r="AA93" s="657"/>
      <c r="AB93" s="657"/>
      <c r="AC93" s="657"/>
      <c r="AD93" s="658"/>
      <c r="AE93" s="211"/>
      <c r="AF93" s="179"/>
      <c r="AG93" s="179"/>
      <c r="AH93" s="179"/>
      <c r="AI93" s="179"/>
      <c r="AJ93" s="179"/>
      <c r="AK93" s="179"/>
      <c r="AL93" s="179"/>
      <c r="AM93" s="179"/>
      <c r="AN93" s="191"/>
      <c r="AO93" s="191"/>
      <c r="AP93" s="191"/>
      <c r="AQ93" s="191"/>
      <c r="AR93" s="191"/>
      <c r="AS93" s="191"/>
      <c r="AT93" s="191"/>
      <c r="AU93" s="191"/>
      <c r="AV93" s="191"/>
      <c r="AW93" s="191"/>
      <c r="AX93" s="191"/>
      <c r="AY93" s="191"/>
      <c r="AZ93" s="191"/>
      <c r="BA93" s="191"/>
      <c r="BB93" s="191"/>
      <c r="BC93" s="191"/>
      <c r="BD93" s="191"/>
      <c r="BE93" s="191"/>
      <c r="BF93" s="191"/>
      <c r="BG93" s="191"/>
      <c r="BH93" s="191"/>
      <c r="BI93" s="191"/>
      <c r="BJ93" s="191"/>
      <c r="BK93" s="191"/>
      <c r="BL93" s="191"/>
      <c r="BM93" s="191"/>
      <c r="BN93" s="191"/>
      <c r="BO93" s="191"/>
      <c r="BP93" s="191"/>
      <c r="BQ93" s="191"/>
      <c r="BR93" s="191"/>
      <c r="BS93" s="191"/>
      <c r="BT93" s="191"/>
      <c r="BU93" s="191"/>
      <c r="BV93" s="191"/>
      <c r="BW93" s="191"/>
      <c r="BX93" s="191"/>
      <c r="BY93" s="191"/>
      <c r="BZ93" s="191"/>
      <c r="CA93" s="191"/>
    </row>
    <row r="94" spans="1:118">
      <c r="A94" s="84"/>
      <c r="B94" s="85" t="s">
        <v>4</v>
      </c>
      <c r="C94" s="85" t="s">
        <v>156</v>
      </c>
      <c r="D94" s="85" t="s">
        <v>219</v>
      </c>
      <c r="E94" s="85" t="s">
        <v>221</v>
      </c>
      <c r="F94" s="86" t="s">
        <v>156</v>
      </c>
      <c r="G94" s="96" t="s">
        <v>219</v>
      </c>
      <c r="H94" s="598" t="s">
        <v>835</v>
      </c>
      <c r="I94" s="599"/>
      <c r="J94" s="96" t="s">
        <v>219</v>
      </c>
      <c r="K94" s="598" t="s">
        <v>223</v>
      </c>
      <c r="L94" s="599"/>
      <c r="M94" s="85" t="s">
        <v>224</v>
      </c>
      <c r="N94" s="96" t="s">
        <v>156</v>
      </c>
      <c r="O94" s="855"/>
      <c r="P94" s="856"/>
      <c r="Q94" s="856"/>
      <c r="R94" s="856"/>
      <c r="S94" s="856"/>
      <c r="T94" s="857"/>
      <c r="U94" s="657"/>
      <c r="V94" s="657"/>
      <c r="W94" s="657"/>
      <c r="X94" s="657"/>
      <c r="Y94" s="657"/>
      <c r="Z94" s="657"/>
      <c r="AA94" s="657"/>
      <c r="AB94" s="657"/>
      <c r="AC94" s="657"/>
      <c r="AD94" s="658"/>
      <c r="AE94" s="211"/>
      <c r="AF94" s="179"/>
      <c r="AG94" s="179"/>
      <c r="AH94" s="179"/>
      <c r="AI94" s="179"/>
      <c r="AJ94" s="179"/>
      <c r="AK94" s="179"/>
      <c r="AL94" s="179"/>
      <c r="AM94" s="179"/>
      <c r="AN94" s="191"/>
      <c r="AO94" s="191"/>
      <c r="AP94" s="191"/>
      <c r="AQ94" s="191"/>
      <c r="AR94" s="191"/>
      <c r="AS94" s="191"/>
      <c r="AT94" s="191"/>
      <c r="AU94" s="191"/>
      <c r="AV94" s="191"/>
      <c r="AW94" s="191"/>
      <c r="AX94" s="191"/>
      <c r="AY94" s="191"/>
      <c r="AZ94" s="191"/>
      <c r="BA94" s="191"/>
      <c r="BB94" s="191"/>
      <c r="BC94" s="191"/>
      <c r="BD94" s="191"/>
      <c r="BE94" s="191"/>
      <c r="BF94" s="191"/>
      <c r="BG94" s="191"/>
      <c r="BH94" s="191"/>
      <c r="BI94" s="191"/>
      <c r="BJ94" s="191"/>
      <c r="BK94" s="191"/>
      <c r="BL94" s="191"/>
      <c r="BM94" s="191"/>
      <c r="BN94" s="191"/>
      <c r="BO94" s="191"/>
      <c r="BP94" s="191"/>
      <c r="BQ94" s="191"/>
      <c r="BR94" s="191"/>
      <c r="BS94" s="191"/>
      <c r="BT94" s="191"/>
      <c r="BU94" s="191"/>
      <c r="BV94" s="191"/>
      <c r="BW94" s="191"/>
      <c r="BX94" s="191"/>
      <c r="BY94" s="191"/>
      <c r="BZ94" s="191"/>
      <c r="CA94" s="191"/>
      <c r="DN94" s="291" t="s">
        <v>787</v>
      </c>
    </row>
    <row r="95" spans="1:118">
      <c r="A95" s="79">
        <v>1</v>
      </c>
      <c r="B95" s="128" t="s">
        <v>225</v>
      </c>
      <c r="C95" s="129">
        <v>4</v>
      </c>
      <c r="D95" s="129">
        <v>1</v>
      </c>
      <c r="E95" s="129">
        <v>1</v>
      </c>
      <c r="F95" s="130"/>
      <c r="G95" s="131">
        <v>1</v>
      </c>
      <c r="H95" s="608" t="s">
        <v>836</v>
      </c>
      <c r="I95" s="609"/>
      <c r="J95" s="131">
        <f>INDEX(sys!O2:O3,MATCH(ΥΠΟΛΟΓΙΣΜΟΙ!H95,sys!M2:M3,0))</f>
        <v>0.98</v>
      </c>
      <c r="K95" s="865"/>
      <c r="L95" s="866"/>
      <c r="M95" s="129"/>
      <c r="N95" s="131">
        <v>0</v>
      </c>
      <c r="O95" s="855"/>
      <c r="P95" s="856"/>
      <c r="Q95" s="856"/>
      <c r="R95" s="856"/>
      <c r="S95" s="856"/>
      <c r="T95" s="857"/>
      <c r="U95" s="657"/>
      <c r="V95" s="657"/>
      <c r="W95" s="657"/>
      <c r="X95" s="657"/>
      <c r="Y95" s="657"/>
      <c r="Z95" s="657"/>
      <c r="AA95" s="657"/>
      <c r="AB95" s="657"/>
      <c r="AC95" s="657"/>
      <c r="AD95" s="658"/>
      <c r="AE95" s="211"/>
      <c r="AF95" s="179"/>
      <c r="AG95" s="179"/>
      <c r="AH95" s="179"/>
      <c r="AI95" s="179"/>
      <c r="AJ95" s="179"/>
      <c r="AK95" s="179"/>
      <c r="AL95" s="179"/>
      <c r="AM95" s="179"/>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1"/>
      <c r="BQ95" s="191"/>
      <c r="BR95" s="191"/>
      <c r="BS95" s="191"/>
      <c r="BT95" s="191"/>
      <c r="BU95" s="191"/>
      <c r="BV95" s="191"/>
      <c r="BW95" s="191"/>
      <c r="BX95" s="191"/>
      <c r="BY95" s="191"/>
      <c r="BZ95" s="191"/>
      <c r="CA95" s="191"/>
      <c r="DN95" s="291" t="s">
        <v>790</v>
      </c>
    </row>
    <row r="96" spans="1:118">
      <c r="A96" s="82">
        <v>2</v>
      </c>
      <c r="B96" s="132"/>
      <c r="C96" s="133"/>
      <c r="D96" s="133"/>
      <c r="E96" s="133"/>
      <c r="F96" s="134"/>
      <c r="G96" s="135"/>
      <c r="H96" s="590" t="s">
        <v>836</v>
      </c>
      <c r="I96" s="591"/>
      <c r="J96" s="135">
        <f>INDEX(sys!O2:O3,MATCH(ΥΠΟΛΟΓΙΣΜΟΙ!H96,sys!M2:M3,0))</f>
        <v>0.98</v>
      </c>
      <c r="K96" s="845"/>
      <c r="L96" s="846"/>
      <c r="M96" s="133"/>
      <c r="N96" s="135"/>
      <c r="O96" s="858"/>
      <c r="P96" s="859"/>
      <c r="Q96" s="859"/>
      <c r="R96" s="859"/>
      <c r="S96" s="859"/>
      <c r="T96" s="860"/>
      <c r="U96" s="657"/>
      <c r="V96" s="657"/>
      <c r="W96" s="657"/>
      <c r="X96" s="657"/>
      <c r="Y96" s="657"/>
      <c r="Z96" s="657"/>
      <c r="AA96" s="657"/>
      <c r="AB96" s="657"/>
      <c r="AC96" s="657"/>
      <c r="AD96" s="658"/>
      <c r="AE96" s="211"/>
      <c r="AF96" s="179"/>
      <c r="AG96" s="179"/>
      <c r="AH96" s="179"/>
      <c r="AI96" s="179"/>
      <c r="AJ96" s="179"/>
      <c r="AK96" s="179"/>
      <c r="AL96" s="179"/>
      <c r="AM96" s="179"/>
      <c r="AN96" s="191"/>
      <c r="AO96" s="191"/>
      <c r="AP96" s="191"/>
      <c r="AQ96" s="191"/>
      <c r="AR96" s="191"/>
      <c r="AS96" s="191"/>
      <c r="AT96" s="191"/>
      <c r="AU96" s="191"/>
      <c r="AV96" s="191"/>
      <c r="AW96" s="191"/>
      <c r="AX96" s="191"/>
      <c r="AY96" s="191"/>
      <c r="AZ96" s="191"/>
      <c r="BA96" s="191"/>
      <c r="BB96" s="191"/>
      <c r="BC96" s="191"/>
      <c r="BD96" s="191"/>
      <c r="BE96" s="191"/>
      <c r="BF96" s="191"/>
      <c r="BG96" s="191"/>
      <c r="BH96" s="191"/>
      <c r="BI96" s="191"/>
      <c r="BJ96" s="191"/>
      <c r="BK96" s="191"/>
      <c r="BL96" s="191"/>
      <c r="BM96" s="191"/>
      <c r="BN96" s="191"/>
      <c r="BO96" s="191"/>
      <c r="BP96" s="191"/>
      <c r="BQ96" s="191"/>
      <c r="BR96" s="191"/>
      <c r="BS96" s="191"/>
      <c r="BT96" s="191"/>
      <c r="BU96" s="191"/>
      <c r="BV96" s="191"/>
      <c r="BW96" s="191"/>
      <c r="BX96" s="191"/>
      <c r="BY96" s="191"/>
      <c r="BZ96" s="191"/>
      <c r="CA96" s="191"/>
      <c r="DN96" s="291" t="s">
        <v>791</v>
      </c>
    </row>
    <row r="97" spans="1:118" s="88" customFormat="1" ht="14.4" customHeight="1">
      <c r="A97" s="908" t="s">
        <v>834</v>
      </c>
      <c r="B97" s="908"/>
      <c r="C97" s="908"/>
      <c r="D97" s="87">
        <v>1</v>
      </c>
      <c r="E97" s="87">
        <v>1</v>
      </c>
      <c r="F97" s="87">
        <v>0</v>
      </c>
      <c r="G97" s="87">
        <v>1</v>
      </c>
      <c r="H97" s="754" t="s">
        <v>226</v>
      </c>
      <c r="I97" s="754"/>
      <c r="J97" s="87">
        <v>0.98</v>
      </c>
      <c r="K97" s="480"/>
      <c r="L97" s="480"/>
      <c r="M97" s="909" t="s">
        <v>833</v>
      </c>
      <c r="N97" s="909"/>
      <c r="O97" s="843"/>
      <c r="P97" s="843"/>
      <c r="Q97" s="843"/>
      <c r="R97" s="843"/>
      <c r="S97" s="843"/>
      <c r="T97" s="843"/>
      <c r="U97" s="656"/>
      <c r="V97" s="657"/>
      <c r="W97" s="657"/>
      <c r="X97" s="657"/>
      <c r="Y97" s="657"/>
      <c r="Z97" s="657"/>
      <c r="AA97" s="657"/>
      <c r="AB97" s="657"/>
      <c r="AC97" s="657"/>
      <c r="AD97" s="658"/>
      <c r="AE97" s="212"/>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213"/>
      <c r="BI97" s="213"/>
      <c r="BJ97" s="213"/>
      <c r="BK97" s="213"/>
      <c r="BL97" s="213"/>
      <c r="BM97" s="213"/>
      <c r="BN97" s="213"/>
      <c r="BO97" s="213"/>
      <c r="BP97" s="213"/>
      <c r="BQ97" s="213"/>
      <c r="BR97" s="213"/>
      <c r="BS97" s="213"/>
      <c r="BT97" s="213"/>
      <c r="BU97" s="213"/>
      <c r="BV97" s="213"/>
      <c r="BW97" s="213"/>
      <c r="BX97" s="213"/>
      <c r="BY97" s="213"/>
      <c r="BZ97" s="213"/>
      <c r="CA97" s="213"/>
      <c r="DN97" s="291" t="s">
        <v>792</v>
      </c>
    </row>
    <row r="98" spans="1:118">
      <c r="G98" s="89"/>
      <c r="H98" s="873"/>
      <c r="I98" s="873"/>
      <c r="J98" s="873"/>
      <c r="O98" s="34"/>
      <c r="P98" s="34"/>
      <c r="Q98" s="34"/>
      <c r="R98" s="34"/>
      <c r="S98" s="34"/>
      <c r="T98" s="34"/>
      <c r="U98" s="656"/>
      <c r="V98" s="657"/>
      <c r="W98" s="657"/>
      <c r="X98" s="657"/>
      <c r="Y98" s="657"/>
      <c r="Z98" s="657"/>
      <c r="AA98" s="657"/>
      <c r="AB98" s="657"/>
      <c r="AC98" s="657"/>
      <c r="AD98" s="658"/>
      <c r="AE98" s="211"/>
      <c r="AF98" s="179"/>
      <c r="AG98" s="179"/>
      <c r="AH98" s="179"/>
      <c r="AI98" s="179"/>
      <c r="AJ98" s="179"/>
      <c r="AK98" s="179"/>
      <c r="AL98" s="179"/>
      <c r="AM98" s="179"/>
      <c r="AN98" s="191"/>
      <c r="AO98" s="191"/>
      <c r="AP98" s="191"/>
      <c r="AQ98" s="191"/>
      <c r="AR98" s="191"/>
      <c r="AS98" s="191"/>
      <c r="AT98" s="191"/>
      <c r="AU98" s="191"/>
      <c r="AV98" s="191"/>
      <c r="AW98" s="191"/>
      <c r="AX98" s="191"/>
      <c r="AY98" s="191"/>
      <c r="AZ98" s="191"/>
      <c r="BA98" s="191"/>
      <c r="BB98" s="191"/>
      <c r="BC98" s="191"/>
      <c r="BD98" s="191"/>
      <c r="BE98" s="191"/>
      <c r="BF98" s="191"/>
      <c r="BG98" s="191"/>
      <c r="BH98" s="191"/>
      <c r="BI98" s="191"/>
      <c r="BJ98" s="191"/>
      <c r="BK98" s="191"/>
      <c r="BL98" s="191"/>
      <c r="BM98" s="191"/>
      <c r="BN98" s="191"/>
      <c r="BO98" s="191"/>
      <c r="BP98" s="191"/>
      <c r="BQ98" s="191"/>
      <c r="BR98" s="191"/>
      <c r="BS98" s="191"/>
      <c r="BT98" s="191"/>
      <c r="BU98" s="191"/>
      <c r="BV98" s="191"/>
      <c r="BW98" s="191"/>
      <c r="BX98" s="191"/>
      <c r="BY98" s="191"/>
      <c r="BZ98" s="191"/>
      <c r="CA98" s="191"/>
    </row>
    <row r="99" spans="1:118">
      <c r="A99" s="874" t="s">
        <v>213</v>
      </c>
      <c r="B99" s="874"/>
      <c r="C99" s="785" t="s">
        <v>360</v>
      </c>
      <c r="D99" s="785"/>
      <c r="E99" s="90"/>
      <c r="F99" s="90"/>
      <c r="L99" s="570" t="s">
        <v>576</v>
      </c>
      <c r="M99" s="570"/>
      <c r="N99" s="570"/>
      <c r="O99" s="570"/>
      <c r="P99" s="570"/>
      <c r="Q99" s="252"/>
      <c r="R99" s="252"/>
      <c r="S99" s="252"/>
      <c r="T99" s="252"/>
      <c r="U99" s="656"/>
      <c r="V99" s="657"/>
      <c r="W99" s="657"/>
      <c r="X99" s="657"/>
      <c r="Y99" s="657"/>
      <c r="Z99" s="657"/>
      <c r="AA99" s="657"/>
      <c r="AB99" s="657"/>
      <c r="AC99" s="657"/>
      <c r="AD99" s="658"/>
      <c r="AE99" s="211"/>
      <c r="AF99" s="179"/>
      <c r="AG99" s="179"/>
      <c r="AH99" s="179"/>
      <c r="AI99" s="179"/>
      <c r="AJ99" s="179"/>
      <c r="AK99" s="179"/>
      <c r="AL99" s="179"/>
      <c r="AM99" s="179"/>
      <c r="AN99" s="191"/>
      <c r="AO99" s="191"/>
      <c r="AP99" s="191"/>
      <c r="AQ99" s="191"/>
      <c r="AR99" s="191"/>
      <c r="AS99" s="191"/>
      <c r="AT99" s="191"/>
      <c r="AU99" s="191"/>
      <c r="AV99" s="191"/>
      <c r="AW99" s="191"/>
      <c r="AX99" s="191"/>
      <c r="AY99" s="191"/>
      <c r="AZ99" s="191"/>
      <c r="BA99" s="191"/>
      <c r="BB99" s="191"/>
      <c r="BC99" s="191"/>
      <c r="BD99" s="191"/>
      <c r="BE99" s="191"/>
      <c r="BF99" s="191"/>
      <c r="BG99" s="191"/>
      <c r="BH99" s="191"/>
      <c r="BI99" s="191"/>
      <c r="BJ99" s="191"/>
      <c r="BK99" s="191"/>
      <c r="BL99" s="191"/>
      <c r="BM99" s="191"/>
      <c r="BN99" s="191"/>
      <c r="BO99" s="191"/>
      <c r="BP99" s="191"/>
      <c r="BQ99" s="191"/>
      <c r="BR99" s="191"/>
      <c r="BS99" s="191"/>
      <c r="BT99" s="191"/>
      <c r="BU99" s="191"/>
      <c r="BV99" s="191"/>
      <c r="BW99" s="191"/>
      <c r="BX99" s="191"/>
      <c r="BY99" s="191"/>
      <c r="BZ99" s="191"/>
      <c r="CA99" s="191"/>
    </row>
    <row r="100" spans="1:118">
      <c r="A100" s="91"/>
      <c r="B100" s="99" t="s">
        <v>223</v>
      </c>
      <c r="C100" s="254" t="s">
        <v>228</v>
      </c>
      <c r="D100" s="92" t="s">
        <v>227</v>
      </c>
      <c r="E100" s="571" t="s">
        <v>636</v>
      </c>
      <c r="F100" s="572"/>
      <c r="G100" s="572" t="s">
        <v>637</v>
      </c>
      <c r="H100" s="572"/>
      <c r="I100" s="283" t="s">
        <v>638</v>
      </c>
      <c r="J100" s="284" t="s">
        <v>639</v>
      </c>
      <c r="K100" s="255" t="s">
        <v>229</v>
      </c>
      <c r="L100" s="255" t="s">
        <v>230</v>
      </c>
      <c r="M100" s="573" t="s">
        <v>640</v>
      </c>
      <c r="N100" s="573"/>
      <c r="O100" s="250" t="s">
        <v>231</v>
      </c>
      <c r="P100" s="250" t="s">
        <v>232</v>
      </c>
      <c r="Q100" s="92" t="s">
        <v>233</v>
      </c>
      <c r="R100" s="253"/>
      <c r="S100" s="253"/>
      <c r="T100" s="253"/>
      <c r="U100" s="656"/>
      <c r="V100" s="657"/>
      <c r="W100" s="657"/>
      <c r="X100" s="657"/>
      <c r="Y100" s="657"/>
      <c r="Z100" s="657"/>
      <c r="AA100" s="657"/>
      <c r="AB100" s="657"/>
      <c r="AC100" s="657"/>
      <c r="AD100" s="658"/>
      <c r="AE100" s="211"/>
      <c r="AF100" s="179"/>
      <c r="AG100" s="179"/>
      <c r="AH100" s="179"/>
      <c r="AI100" s="179"/>
      <c r="AJ100" s="179"/>
      <c r="AK100" s="179"/>
      <c r="AL100" s="179"/>
      <c r="AM100" s="179"/>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1"/>
      <c r="BM100" s="191"/>
      <c r="BN100" s="191"/>
      <c r="BO100" s="191"/>
      <c r="BP100" s="191"/>
      <c r="BQ100" s="191"/>
      <c r="BR100" s="191"/>
      <c r="BS100" s="191"/>
      <c r="BT100" s="191"/>
      <c r="BU100" s="191"/>
      <c r="BV100" s="191"/>
      <c r="BW100" s="191"/>
      <c r="BX100" s="191"/>
      <c r="BY100" s="191"/>
      <c r="BZ100" s="191"/>
      <c r="CA100" s="191"/>
    </row>
    <row r="101" spans="1:118">
      <c r="A101" s="79">
        <v>1</v>
      </c>
      <c r="B101" s="136" t="s">
        <v>291</v>
      </c>
      <c r="C101" s="130" t="s">
        <v>235</v>
      </c>
      <c r="D101" s="131" t="s">
        <v>234</v>
      </c>
      <c r="E101" s="786" t="s">
        <v>565</v>
      </c>
      <c r="F101" s="787"/>
      <c r="G101" s="787" t="s">
        <v>556</v>
      </c>
      <c r="H101" s="787"/>
      <c r="I101" s="137" t="s">
        <v>236</v>
      </c>
      <c r="J101" s="131" t="s">
        <v>570</v>
      </c>
      <c r="K101" s="259" t="str">
        <f>IFERROR(sys!T204,"-")</f>
        <v>-</v>
      </c>
      <c r="L101" s="256" t="s">
        <v>236</v>
      </c>
      <c r="M101" s="830"/>
      <c r="N101" s="830"/>
      <c r="O101" s="137"/>
      <c r="P101" s="137" t="str">
        <f>I101</f>
        <v>-</v>
      </c>
      <c r="Q101" s="131">
        <v>1</v>
      </c>
      <c r="R101" s="253"/>
      <c r="S101" s="253"/>
      <c r="T101" s="253"/>
      <c r="U101" s="656"/>
      <c r="V101" s="657"/>
      <c r="W101" s="657"/>
      <c r="X101" s="657"/>
      <c r="Y101" s="657"/>
      <c r="Z101" s="657"/>
      <c r="AA101" s="657"/>
      <c r="AB101" s="657"/>
      <c r="AC101" s="657"/>
      <c r="AD101" s="658"/>
      <c r="AE101" s="211"/>
      <c r="AF101" s="179"/>
      <c r="AG101" s="179"/>
      <c r="AH101" s="179"/>
      <c r="AI101" s="179"/>
      <c r="AJ101" s="179"/>
      <c r="AK101" s="179"/>
      <c r="AL101" s="179"/>
      <c r="AM101" s="179"/>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c r="BN101" s="191"/>
      <c r="BO101" s="191"/>
      <c r="BP101" s="191"/>
      <c r="BQ101" s="191"/>
      <c r="BR101" s="191"/>
      <c r="BS101" s="191"/>
      <c r="BT101" s="191"/>
      <c r="BU101" s="191"/>
      <c r="BV101" s="191"/>
      <c r="BW101" s="191"/>
      <c r="BX101" s="191"/>
      <c r="BY101" s="191"/>
      <c r="BZ101" s="191"/>
      <c r="CA101" s="191"/>
    </row>
    <row r="102" spans="1:118">
      <c r="A102" s="82">
        <v>2</v>
      </c>
      <c r="B102" s="138" t="s">
        <v>291</v>
      </c>
      <c r="C102" s="134" t="s">
        <v>235</v>
      </c>
      <c r="D102" s="135" t="s">
        <v>234</v>
      </c>
      <c r="E102" s="788" t="s">
        <v>565</v>
      </c>
      <c r="F102" s="753"/>
      <c r="G102" s="753" t="s">
        <v>556</v>
      </c>
      <c r="H102" s="753"/>
      <c r="I102" s="139" t="s">
        <v>236</v>
      </c>
      <c r="J102" s="135" t="s">
        <v>570</v>
      </c>
      <c r="K102" s="260" t="str">
        <f>IFERROR(sys!T211,"-")</f>
        <v>-</v>
      </c>
      <c r="L102" s="257" t="s">
        <v>236</v>
      </c>
      <c r="M102" s="864"/>
      <c r="N102" s="864"/>
      <c r="O102" s="139"/>
      <c r="P102" s="139" t="str">
        <f>I102</f>
        <v>-</v>
      </c>
      <c r="Q102" s="258" t="s">
        <v>236</v>
      </c>
      <c r="R102" s="253"/>
      <c r="S102" s="253"/>
      <c r="T102" s="253"/>
      <c r="U102" s="656"/>
      <c r="V102" s="657"/>
      <c r="W102" s="657"/>
      <c r="X102" s="657"/>
      <c r="Y102" s="657"/>
      <c r="Z102" s="657"/>
      <c r="AA102" s="657"/>
      <c r="AB102" s="657"/>
      <c r="AC102" s="657"/>
      <c r="AD102" s="658"/>
      <c r="AE102" s="211"/>
      <c r="AF102" s="179"/>
      <c r="AG102" s="179"/>
      <c r="AH102" s="179"/>
      <c r="AI102" s="179"/>
      <c r="AJ102" s="179"/>
      <c r="AK102" s="179"/>
      <c r="AL102" s="179"/>
      <c r="AM102" s="179"/>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1"/>
      <c r="BR102" s="191"/>
      <c r="BS102" s="191"/>
      <c r="BT102" s="191"/>
      <c r="BU102" s="191"/>
      <c r="BV102" s="191"/>
      <c r="BW102" s="191"/>
      <c r="BX102" s="191"/>
      <c r="BY102" s="191"/>
      <c r="BZ102" s="191"/>
      <c r="CA102" s="191"/>
    </row>
    <row r="103" spans="1:118">
      <c r="E103" s="93"/>
      <c r="F103" s="94"/>
      <c r="G103" s="94"/>
      <c r="H103" s="781"/>
      <c r="I103" s="781"/>
      <c r="J103" s="94"/>
      <c r="K103" s="94"/>
      <c r="L103" s="105"/>
      <c r="N103" s="251"/>
      <c r="O103" s="844"/>
      <c r="P103" s="844"/>
      <c r="Q103" s="844"/>
      <c r="R103" s="844"/>
      <c r="S103" s="844"/>
      <c r="T103" s="95" t="s">
        <v>332</v>
      </c>
      <c r="AE103" s="211"/>
      <c r="AF103" s="179"/>
      <c r="AG103" s="179"/>
      <c r="AH103" s="179"/>
      <c r="AI103" s="179"/>
      <c r="AJ103" s="179"/>
      <c r="AK103" s="179"/>
      <c r="AL103" s="179"/>
      <c r="AM103" s="179"/>
      <c r="AN103" s="191"/>
      <c r="AO103" s="191"/>
      <c r="AP103" s="191"/>
      <c r="AQ103" s="191"/>
      <c r="AR103" s="191"/>
      <c r="AS103" s="191"/>
      <c r="AT103" s="191"/>
      <c r="AU103" s="191"/>
      <c r="AV103" s="191"/>
      <c r="AW103" s="191"/>
      <c r="AX103" s="191"/>
      <c r="AY103" s="191"/>
      <c r="AZ103" s="191"/>
      <c r="BA103" s="191"/>
      <c r="BB103" s="191"/>
      <c r="BC103" s="191"/>
      <c r="BD103" s="191"/>
      <c r="BE103" s="191"/>
      <c r="BF103" s="191"/>
      <c r="BG103" s="191"/>
      <c r="BH103" s="191"/>
      <c r="BI103" s="191"/>
      <c r="BJ103" s="191"/>
      <c r="BK103" s="191"/>
      <c r="BL103" s="191"/>
      <c r="BM103" s="191"/>
      <c r="BN103" s="191"/>
      <c r="BO103" s="191"/>
      <c r="BP103" s="191"/>
      <c r="BQ103" s="191"/>
      <c r="BR103" s="191"/>
      <c r="BS103" s="191"/>
      <c r="BT103" s="191"/>
      <c r="BU103" s="191"/>
      <c r="BV103" s="191"/>
      <c r="BW103" s="191"/>
      <c r="BX103" s="191"/>
      <c r="BY103" s="191"/>
      <c r="BZ103" s="191"/>
      <c r="CA103" s="191"/>
    </row>
    <row r="104" spans="1:118" ht="14.4" customHeight="1">
      <c r="A104" s="747" t="s">
        <v>354</v>
      </c>
      <c r="B104" s="748"/>
      <c r="C104" s="748"/>
      <c r="E104" s="598" t="s">
        <v>319</v>
      </c>
      <c r="F104" s="599"/>
      <c r="G104" s="599"/>
      <c r="H104" s="755"/>
      <c r="M104" s="840" t="str">
        <f>IF(G106=0,"ΜΟΝΟ ΘΕΩΡ. ΣΥΣΤ.","ΕΠΙΠΛΕΟΝ ΘΕΩΡ. ΣΥΣΤ.")</f>
        <v>ΜΟΝΟ ΘΕΩΡ. ΣΥΣΤ.</v>
      </c>
      <c r="N104" s="841"/>
      <c r="O104" s="842"/>
      <c r="P104" s="97" t="s">
        <v>322</v>
      </c>
      <c r="Q104" s="140" t="s">
        <v>298</v>
      </c>
      <c r="R104" s="98" t="s">
        <v>323</v>
      </c>
      <c r="S104" s="141" t="s">
        <v>298</v>
      </c>
      <c r="T104" s="142" t="s">
        <v>298</v>
      </c>
      <c r="U104" s="881" t="s">
        <v>356</v>
      </c>
      <c r="V104" s="881"/>
      <c r="W104" s="881"/>
      <c r="X104" s="881"/>
      <c r="Y104" s="881"/>
      <c r="Z104" s="881"/>
      <c r="AA104" s="881"/>
      <c r="AB104" s="881"/>
      <c r="AC104" s="881"/>
      <c r="AD104" s="882"/>
      <c r="AE104" s="211"/>
      <c r="AF104" s="179"/>
      <c r="AG104" s="179"/>
      <c r="AH104" s="179"/>
      <c r="AI104" s="179"/>
      <c r="AJ104" s="179"/>
      <c r="AK104" s="179"/>
      <c r="AL104" s="179"/>
      <c r="AM104" s="179"/>
      <c r="AN104" s="191"/>
      <c r="AO104" s="191"/>
      <c r="AP104" s="191"/>
      <c r="AQ104" s="191"/>
      <c r="AR104" s="191"/>
      <c r="AS104" s="191"/>
      <c r="AT104" s="191"/>
      <c r="AU104" s="191"/>
      <c r="AV104" s="191"/>
      <c r="AW104" s="191"/>
      <c r="AX104" s="191"/>
      <c r="AY104" s="191"/>
      <c r="AZ104" s="191"/>
      <c r="BA104" s="191"/>
      <c r="BB104" s="191"/>
      <c r="BC104" s="191"/>
      <c r="BD104" s="191"/>
      <c r="BE104" s="191"/>
      <c r="BF104" s="191"/>
      <c r="BG104" s="191"/>
      <c r="BH104" s="191"/>
      <c r="BI104" s="191"/>
      <c r="BJ104" s="191"/>
      <c r="BK104" s="191"/>
      <c r="BL104" s="191"/>
      <c r="BM104" s="191"/>
      <c r="BN104" s="191"/>
      <c r="BO104" s="191"/>
      <c r="BP104" s="191"/>
      <c r="BQ104" s="191"/>
      <c r="BR104" s="191"/>
      <c r="BS104" s="191"/>
      <c r="BT104" s="191"/>
      <c r="BU104" s="191"/>
      <c r="BV104" s="191"/>
      <c r="BW104" s="191"/>
      <c r="BX104" s="191"/>
      <c r="BY104" s="191"/>
      <c r="BZ104" s="191"/>
      <c r="CA104" s="191"/>
    </row>
    <row r="105" spans="1:118">
      <c r="A105" s="77"/>
      <c r="B105" s="572" t="s">
        <v>300</v>
      </c>
      <c r="C105" s="746"/>
      <c r="D105" s="86" t="s">
        <v>299</v>
      </c>
      <c r="E105" s="598" t="s">
        <v>302</v>
      </c>
      <c r="F105" s="755"/>
      <c r="G105" s="598" t="s">
        <v>301</v>
      </c>
      <c r="H105" s="755"/>
      <c r="I105" s="598" t="s">
        <v>318</v>
      </c>
      <c r="J105" s="755"/>
      <c r="K105" s="598" t="s">
        <v>317</v>
      </c>
      <c r="L105" s="755"/>
      <c r="M105" s="899" t="s">
        <v>321</v>
      </c>
      <c r="N105" s="900"/>
      <c r="O105" s="100" t="s">
        <v>320</v>
      </c>
      <c r="P105" s="101" t="s">
        <v>324</v>
      </c>
      <c r="Q105" s="102" t="s">
        <v>325</v>
      </c>
      <c r="R105" s="101" t="s">
        <v>326</v>
      </c>
      <c r="S105" s="96" t="s">
        <v>327</v>
      </c>
      <c r="T105" s="158" t="s">
        <v>331</v>
      </c>
      <c r="U105" s="881"/>
      <c r="V105" s="881"/>
      <c r="W105" s="881"/>
      <c r="X105" s="881"/>
      <c r="Y105" s="881"/>
      <c r="Z105" s="881"/>
      <c r="AA105" s="881"/>
      <c r="AB105" s="881"/>
      <c r="AC105" s="881"/>
      <c r="AD105" s="882"/>
      <c r="AE105" s="211"/>
      <c r="AF105" s="179"/>
      <c r="AG105" s="179"/>
      <c r="AH105" s="179"/>
      <c r="AI105" s="179"/>
      <c r="AJ105" s="179"/>
      <c r="AK105" s="179"/>
      <c r="AL105" s="179"/>
      <c r="AM105" s="179"/>
      <c r="AN105" s="191"/>
      <c r="AO105" s="191"/>
      <c r="AP105" s="191"/>
      <c r="AQ105" s="191"/>
      <c r="AR105" s="191"/>
      <c r="AS105" s="191"/>
      <c r="AT105" s="191"/>
      <c r="AU105" s="191"/>
      <c r="AV105" s="191"/>
      <c r="AW105" s="191"/>
      <c r="AX105" s="191"/>
      <c r="AY105" s="191"/>
      <c r="AZ105" s="191"/>
      <c r="BA105" s="191"/>
      <c r="BB105" s="191"/>
      <c r="BC105" s="191"/>
      <c r="BD105" s="191"/>
      <c r="BE105" s="191"/>
      <c r="BF105" s="191"/>
      <c r="BG105" s="191"/>
      <c r="BH105" s="191"/>
      <c r="BI105" s="191"/>
      <c r="BJ105" s="191"/>
      <c r="BK105" s="191"/>
      <c r="BL105" s="191"/>
      <c r="BM105" s="191"/>
      <c r="BN105" s="191"/>
      <c r="BO105" s="191"/>
      <c r="BP105" s="191"/>
      <c r="BQ105" s="191"/>
      <c r="BR105" s="191"/>
      <c r="BS105" s="191"/>
      <c r="BT105" s="191"/>
      <c r="BU105" s="191"/>
      <c r="BV105" s="191"/>
      <c r="BW105" s="191"/>
      <c r="BX105" s="191"/>
      <c r="BY105" s="191"/>
      <c r="BZ105" s="191"/>
      <c r="CA105" s="191"/>
    </row>
    <row r="106" spans="1:118">
      <c r="A106" s="79">
        <v>1</v>
      </c>
      <c r="B106" s="779" t="s">
        <v>278</v>
      </c>
      <c r="C106" s="780"/>
      <c r="D106" s="143"/>
      <c r="E106" s="538">
        <f>INDEX(sys!$J$50:$J$92,MATCH(ΥΠΟΛΟΓΙΣΜΟΙ!B106,sys!$B$50:$B$92,0))*D106</f>
        <v>0</v>
      </c>
      <c r="F106" s="539"/>
      <c r="G106" s="540"/>
      <c r="H106" s="541"/>
      <c r="I106" s="542"/>
      <c r="J106" s="543"/>
      <c r="K106" s="544" t="str">
        <f>IFERROR(I106/(G106/3600)," ")</f>
        <v xml:space="preserve"> </v>
      </c>
      <c r="L106" s="545"/>
      <c r="M106" s="546" t="str">
        <f>IF(B106="μονοκατοικια, πολυκατοικια","OXI",IF((E106-G106)&gt;0,E106-G106,"OXI"))</f>
        <v>OXI</v>
      </c>
      <c r="N106" s="547"/>
      <c r="O106" s="103" t="str">
        <f>IF(M106="OXI"," ",1)</f>
        <v xml:space="preserve"> </v>
      </c>
      <c r="P106" s="144">
        <v>0</v>
      </c>
      <c r="Q106" s="129">
        <v>0</v>
      </c>
      <c r="R106" s="144">
        <v>0</v>
      </c>
      <c r="S106" s="131">
        <v>0</v>
      </c>
      <c r="T106" s="144">
        <v>0</v>
      </c>
      <c r="U106" s="881"/>
      <c r="V106" s="881"/>
      <c r="W106" s="881"/>
      <c r="X106" s="881"/>
      <c r="Y106" s="881"/>
      <c r="Z106" s="881"/>
      <c r="AA106" s="881"/>
      <c r="AB106" s="881"/>
      <c r="AC106" s="881"/>
      <c r="AD106" s="882"/>
      <c r="AE106" s="211"/>
      <c r="AF106" s="179"/>
      <c r="AG106" s="179"/>
      <c r="AH106" s="179"/>
      <c r="AI106" s="179"/>
      <c r="AJ106" s="179"/>
      <c r="AK106" s="179"/>
      <c r="AL106" s="179"/>
      <c r="AM106" s="179"/>
      <c r="AN106" s="191"/>
      <c r="AO106" s="191"/>
      <c r="AP106" s="191"/>
      <c r="AQ106" s="191"/>
      <c r="AR106" s="191"/>
      <c r="AS106" s="191"/>
      <c r="AT106" s="191"/>
      <c r="AU106" s="191"/>
      <c r="AV106" s="191"/>
      <c r="AW106" s="191"/>
      <c r="AX106" s="191"/>
      <c r="AY106" s="191"/>
      <c r="AZ106" s="191"/>
      <c r="BA106" s="191"/>
      <c r="BB106" s="191"/>
      <c r="BC106" s="191"/>
      <c r="BD106" s="191"/>
      <c r="BE106" s="191"/>
      <c r="BF106" s="191"/>
      <c r="BG106" s="191"/>
      <c r="BH106" s="191"/>
      <c r="BI106" s="191"/>
      <c r="BJ106" s="191"/>
      <c r="BK106" s="191"/>
      <c r="BL106" s="191"/>
      <c r="BM106" s="191"/>
      <c r="BN106" s="191"/>
      <c r="BO106" s="191"/>
      <c r="BP106" s="191"/>
      <c r="BQ106" s="191"/>
      <c r="BR106" s="191"/>
      <c r="BS106" s="191"/>
      <c r="BT106" s="191"/>
      <c r="BU106" s="191"/>
      <c r="BV106" s="191"/>
      <c r="BW106" s="191"/>
      <c r="BX106" s="191"/>
      <c r="BY106" s="191"/>
      <c r="BZ106" s="191"/>
      <c r="CA106" s="191"/>
    </row>
    <row r="107" spans="1:118">
      <c r="A107" s="80">
        <v>2</v>
      </c>
      <c r="B107" s="536" t="s">
        <v>278</v>
      </c>
      <c r="C107" s="537"/>
      <c r="D107" s="143"/>
      <c r="E107" s="538">
        <f>INDEX(sys!$J$50:$J$92,MATCH(ΥΠΟΛΟΓΙΣΜΟΙ!B107,sys!$B$50:$B$92,0))*D107</f>
        <v>0</v>
      </c>
      <c r="F107" s="539"/>
      <c r="G107" s="540"/>
      <c r="H107" s="541"/>
      <c r="I107" s="542"/>
      <c r="J107" s="543"/>
      <c r="K107" s="544" t="str">
        <f>IFERROR(I107/(G107/3600)," ")</f>
        <v xml:space="preserve"> </v>
      </c>
      <c r="L107" s="545"/>
      <c r="M107" s="546" t="str">
        <f>IF(B107="μονοκατοικια, πολυκατοικια","OXI",IF((E107-G107)&gt;0,E107-G107,"OXI"))</f>
        <v>OXI</v>
      </c>
      <c r="N107" s="547"/>
      <c r="O107" s="103" t="str">
        <f>IF(M107="OXI"," ",1)</f>
        <v xml:space="preserve"> </v>
      </c>
      <c r="P107" s="527">
        <v>0</v>
      </c>
      <c r="Q107" s="527">
        <v>0</v>
      </c>
      <c r="R107" s="527">
        <v>0</v>
      </c>
      <c r="S107" s="527">
        <v>0</v>
      </c>
      <c r="T107" s="527">
        <v>0</v>
      </c>
      <c r="U107" s="881"/>
      <c r="V107" s="881"/>
      <c r="W107" s="881"/>
      <c r="X107" s="881"/>
      <c r="Y107" s="881"/>
      <c r="Z107" s="881"/>
      <c r="AA107" s="881"/>
      <c r="AB107" s="881"/>
      <c r="AC107" s="881"/>
      <c r="AD107" s="882"/>
      <c r="AE107" s="211"/>
      <c r="AF107" s="179"/>
      <c r="AG107" s="179"/>
      <c r="AH107" s="179"/>
      <c r="AI107" s="179"/>
      <c r="AJ107" s="179"/>
      <c r="AK107" s="179"/>
      <c r="AL107" s="179"/>
      <c r="AM107" s="179"/>
      <c r="AN107" s="191"/>
      <c r="AO107" s="191"/>
      <c r="AP107" s="191"/>
      <c r="AQ107" s="191"/>
      <c r="AR107" s="191"/>
      <c r="AS107" s="191"/>
      <c r="AT107" s="191"/>
      <c r="AU107" s="191"/>
      <c r="AV107" s="191"/>
      <c r="AW107" s="191"/>
      <c r="AX107" s="191"/>
      <c r="AY107" s="191"/>
      <c r="AZ107" s="191"/>
      <c r="BA107" s="191"/>
      <c r="BB107" s="191"/>
      <c r="BC107" s="191"/>
      <c r="BD107" s="191"/>
      <c r="BE107" s="191"/>
      <c r="BF107" s="191"/>
      <c r="BG107" s="191"/>
      <c r="BH107" s="191"/>
      <c r="BI107" s="191"/>
      <c r="BJ107" s="191"/>
      <c r="BK107" s="191"/>
      <c r="BL107" s="191"/>
      <c r="BM107" s="191"/>
      <c r="BN107" s="191"/>
      <c r="BO107" s="191"/>
      <c r="BP107" s="191"/>
      <c r="BQ107" s="191"/>
      <c r="BR107" s="191"/>
      <c r="BS107" s="191"/>
      <c r="BT107" s="191"/>
      <c r="BU107" s="191"/>
      <c r="BV107" s="191"/>
      <c r="BW107" s="191"/>
      <c r="BX107" s="191"/>
      <c r="BY107" s="191"/>
      <c r="BZ107" s="191"/>
      <c r="CA107" s="191"/>
    </row>
    <row r="108" spans="1:118">
      <c r="A108" s="82">
        <v>2</v>
      </c>
      <c r="B108" s="802" t="s">
        <v>278</v>
      </c>
      <c r="C108" s="803"/>
      <c r="D108" s="145"/>
      <c r="E108" s="800">
        <f>INDEX(sys!$J$50:$J$92,MATCH(ΥΠΟΛΟΓΙΣΜΟΙ!B108,sys!$B$50:$B$92,0))*D108</f>
        <v>0</v>
      </c>
      <c r="F108" s="801"/>
      <c r="G108" s="901"/>
      <c r="H108" s="902"/>
      <c r="I108" s="795"/>
      <c r="J108" s="796"/>
      <c r="K108" s="897" t="str">
        <f>IFERROR(I108/(G108/3600)," ")</f>
        <v xml:space="preserve"> </v>
      </c>
      <c r="L108" s="898"/>
      <c r="M108" s="797" t="str">
        <f>IF(B108="μονοκατοικια, πολυκατοικια","OXI",IF((E108-G108)&gt;0,E108-G108,"OXI"))</f>
        <v>OXI</v>
      </c>
      <c r="N108" s="798"/>
      <c r="O108" s="104" t="str">
        <f>IF(M108="OXI"," ",1)</f>
        <v xml:space="preserve"> </v>
      </c>
      <c r="P108" s="146">
        <v>0</v>
      </c>
      <c r="Q108" s="133">
        <v>0</v>
      </c>
      <c r="R108" s="146">
        <v>0</v>
      </c>
      <c r="S108" s="135">
        <v>0</v>
      </c>
      <c r="T108" s="146">
        <v>0</v>
      </c>
      <c r="U108" s="881"/>
      <c r="V108" s="881"/>
      <c r="W108" s="881"/>
      <c r="X108" s="881"/>
      <c r="Y108" s="881"/>
      <c r="Z108" s="881"/>
      <c r="AA108" s="881"/>
      <c r="AB108" s="881"/>
      <c r="AC108" s="881"/>
      <c r="AD108" s="882"/>
      <c r="AE108" s="211"/>
      <c r="AF108" s="179"/>
      <c r="AG108" s="179"/>
      <c r="AH108" s="179"/>
      <c r="AI108" s="179"/>
      <c r="AJ108" s="179"/>
      <c r="AK108" s="179"/>
      <c r="AL108" s="179"/>
      <c r="AM108" s="179"/>
      <c r="AN108" s="191"/>
      <c r="AO108" s="191"/>
      <c r="AP108" s="191"/>
      <c r="AQ108" s="191"/>
      <c r="AR108" s="191"/>
      <c r="AS108" s="191"/>
      <c r="AT108" s="191"/>
      <c r="AU108" s="191"/>
      <c r="AV108" s="191"/>
      <c r="AW108" s="191"/>
      <c r="AX108" s="191"/>
      <c r="AY108" s="191"/>
      <c r="AZ108" s="191"/>
      <c r="BA108" s="191"/>
      <c r="BB108" s="191"/>
      <c r="BC108" s="191"/>
      <c r="BD108" s="191"/>
      <c r="BE108" s="191"/>
      <c r="BF108" s="191"/>
      <c r="BG108" s="191"/>
      <c r="BH108" s="191"/>
      <c r="BI108" s="191"/>
      <c r="BJ108" s="191"/>
      <c r="BK108" s="191"/>
      <c r="BL108" s="191"/>
      <c r="BM108" s="191"/>
      <c r="BN108" s="191"/>
      <c r="BO108" s="191"/>
      <c r="BP108" s="191"/>
      <c r="BQ108" s="191"/>
      <c r="BR108" s="191"/>
      <c r="BS108" s="191"/>
      <c r="BT108" s="191"/>
      <c r="BU108" s="191"/>
      <c r="BV108" s="191"/>
      <c r="BW108" s="191"/>
      <c r="BX108" s="191"/>
      <c r="BY108" s="191"/>
      <c r="BZ108" s="191"/>
      <c r="CA108" s="191"/>
    </row>
    <row r="109" spans="1:118">
      <c r="D109" s="46"/>
      <c r="S109" s="105"/>
      <c r="T109" s="105"/>
      <c r="U109" s="883"/>
      <c r="V109" s="881"/>
      <c r="W109" s="881"/>
      <c r="X109" s="881"/>
      <c r="Y109" s="881"/>
      <c r="Z109" s="881"/>
      <c r="AA109" s="881"/>
      <c r="AB109" s="881"/>
      <c r="AC109" s="881"/>
      <c r="AD109" s="882"/>
      <c r="AE109" s="211"/>
      <c r="AF109" s="179"/>
      <c r="AG109" s="179"/>
      <c r="AH109" s="179"/>
      <c r="AI109" s="179"/>
      <c r="AJ109" s="179"/>
      <c r="AK109" s="179"/>
      <c r="AL109" s="179"/>
      <c r="AM109" s="179"/>
      <c r="AN109" s="191"/>
      <c r="AO109" s="191"/>
      <c r="AP109" s="191"/>
      <c r="AQ109" s="191"/>
      <c r="AR109" s="191"/>
      <c r="AS109" s="191"/>
      <c r="AT109" s="191"/>
      <c r="AU109" s="191"/>
      <c r="AV109" s="191"/>
      <c r="AW109" s="191"/>
      <c r="AX109" s="191"/>
      <c r="AY109" s="191"/>
      <c r="AZ109" s="191"/>
      <c r="BA109" s="191"/>
      <c r="BB109" s="191"/>
      <c r="BC109" s="191"/>
      <c r="BD109" s="191"/>
      <c r="BE109" s="191"/>
      <c r="BF109" s="191"/>
      <c r="BG109" s="191"/>
      <c r="BH109" s="191"/>
      <c r="BI109" s="191"/>
      <c r="BJ109" s="191"/>
      <c r="BK109" s="191"/>
      <c r="BL109" s="191"/>
      <c r="BM109" s="191"/>
      <c r="BN109" s="191"/>
      <c r="BO109" s="191"/>
      <c r="BP109" s="191"/>
      <c r="BQ109" s="191"/>
      <c r="BR109" s="191"/>
      <c r="BS109" s="191"/>
      <c r="BT109" s="191"/>
      <c r="BU109" s="191"/>
      <c r="BV109" s="191"/>
      <c r="BW109" s="191"/>
      <c r="BX109" s="191"/>
      <c r="BY109" s="191"/>
      <c r="BZ109" s="191"/>
      <c r="CA109" s="191"/>
    </row>
    <row r="110" spans="1:118">
      <c r="A110" s="747" t="s">
        <v>415</v>
      </c>
      <c r="B110" s="748"/>
      <c r="C110" s="748"/>
      <c r="D110" s="46"/>
      <c r="E110" s="594" t="s">
        <v>315</v>
      </c>
      <c r="F110" s="595"/>
      <c r="G110" s="594" t="s">
        <v>305</v>
      </c>
      <c r="H110" s="632"/>
      <c r="I110" s="594" t="s">
        <v>307</v>
      </c>
      <c r="J110" s="632"/>
      <c r="K110" s="594" t="s">
        <v>308</v>
      </c>
      <c r="L110" s="632"/>
      <c r="M110" s="594" t="s">
        <v>311</v>
      </c>
      <c r="N110" s="632"/>
      <c r="O110" s="598" t="s">
        <v>414</v>
      </c>
      <c r="P110" s="599"/>
      <c r="Q110" s="755"/>
      <c r="R110" s="106"/>
      <c r="S110" s="34"/>
      <c r="T110" s="34"/>
      <c r="U110" s="893" t="s">
        <v>355</v>
      </c>
      <c r="V110" s="894"/>
      <c r="W110" s="894"/>
      <c r="X110" s="894"/>
      <c r="Y110" s="894"/>
      <c r="Z110" s="894"/>
      <c r="AA110" s="894"/>
      <c r="AB110" s="894"/>
      <c r="AC110" s="894"/>
      <c r="AD110" s="895"/>
      <c r="AE110" s="211"/>
      <c r="AF110" s="179"/>
      <c r="AG110" s="179"/>
      <c r="AH110" s="179"/>
      <c r="AI110" s="179"/>
      <c r="AJ110" s="179"/>
      <c r="AK110" s="179"/>
      <c r="AL110" s="179"/>
      <c r="AM110" s="179"/>
      <c r="AN110" s="191"/>
      <c r="AO110" s="191"/>
      <c r="AP110" s="191"/>
      <c r="AQ110" s="191"/>
      <c r="AR110" s="191"/>
      <c r="AS110" s="191"/>
      <c r="AT110" s="191"/>
      <c r="AU110" s="191"/>
      <c r="AV110" s="191"/>
      <c r="AW110" s="191"/>
      <c r="AX110" s="191"/>
      <c r="AY110" s="191"/>
      <c r="AZ110" s="191"/>
      <c r="BA110" s="191"/>
      <c r="BB110" s="191"/>
      <c r="BC110" s="191"/>
      <c r="BD110" s="191"/>
      <c r="BE110" s="191"/>
      <c r="BF110" s="191"/>
      <c r="BG110" s="191"/>
      <c r="BH110" s="191"/>
      <c r="BI110" s="191"/>
      <c r="BJ110" s="191"/>
      <c r="BK110" s="191"/>
      <c r="BL110" s="191"/>
      <c r="BM110" s="191"/>
      <c r="BN110" s="191"/>
      <c r="BO110" s="191"/>
      <c r="BP110" s="191"/>
      <c r="BQ110" s="191"/>
      <c r="BR110" s="191"/>
      <c r="BS110" s="191"/>
      <c r="BT110" s="191"/>
      <c r="BU110" s="191"/>
      <c r="BV110" s="191"/>
      <c r="BW110" s="191"/>
      <c r="BX110" s="191"/>
      <c r="BY110" s="191"/>
      <c r="BZ110" s="191"/>
      <c r="CA110" s="191"/>
    </row>
    <row r="111" spans="1:118">
      <c r="A111" s="77"/>
      <c r="B111" s="572" t="s">
        <v>300</v>
      </c>
      <c r="C111" s="746"/>
      <c r="D111" s="86" t="s">
        <v>299</v>
      </c>
      <c r="E111" s="793" t="s">
        <v>303</v>
      </c>
      <c r="F111" s="799"/>
      <c r="G111" s="793" t="s">
        <v>304</v>
      </c>
      <c r="H111" s="794"/>
      <c r="I111" s="793" t="s">
        <v>306</v>
      </c>
      <c r="J111" s="794"/>
      <c r="K111" s="793" t="s">
        <v>309</v>
      </c>
      <c r="L111" s="794"/>
      <c r="M111" s="793" t="s">
        <v>310</v>
      </c>
      <c r="N111" s="794"/>
      <c r="O111" s="888" t="s">
        <v>314</v>
      </c>
      <c r="P111" s="889"/>
      <c r="Q111" s="107" t="s">
        <v>313</v>
      </c>
      <c r="S111" s="34"/>
      <c r="T111" s="34"/>
      <c r="U111" s="825" t="s">
        <v>334</v>
      </c>
      <c r="V111" s="826"/>
      <c r="W111" s="826"/>
      <c r="X111" s="826"/>
      <c r="Y111" s="826"/>
      <c r="Z111" s="826"/>
      <c r="AA111" s="826"/>
      <c r="AB111" s="826"/>
      <c r="AC111" s="826"/>
      <c r="AD111" s="827"/>
      <c r="AE111" s="211"/>
      <c r="AF111" s="179"/>
      <c r="AG111" s="179"/>
      <c r="AH111" s="179"/>
      <c r="AI111" s="179"/>
      <c r="AJ111" s="179"/>
      <c r="AK111" s="179"/>
      <c r="AL111" s="179"/>
      <c r="AM111" s="179"/>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191"/>
      <c r="BI111" s="191"/>
      <c r="BJ111" s="191"/>
      <c r="BK111" s="191"/>
      <c r="BL111" s="191"/>
      <c r="BM111" s="191"/>
      <c r="BN111" s="191"/>
      <c r="BO111" s="191"/>
      <c r="BP111" s="191"/>
      <c r="BQ111" s="191"/>
      <c r="BR111" s="191"/>
      <c r="BS111" s="191"/>
      <c r="BT111" s="191"/>
      <c r="BU111" s="191"/>
      <c r="BV111" s="191"/>
      <c r="BW111" s="191"/>
      <c r="BX111" s="191"/>
      <c r="BY111" s="191"/>
      <c r="BZ111" s="191"/>
      <c r="CA111" s="191"/>
    </row>
    <row r="112" spans="1:118">
      <c r="A112" s="79">
        <v>1</v>
      </c>
      <c r="B112" s="779" t="s">
        <v>278</v>
      </c>
      <c r="C112" s="780"/>
      <c r="D112" s="147"/>
      <c r="E112" s="791">
        <f>INDEX(sys!$K$50:$K$92,MATCH(ΥΠΟΛΟΓΙΣΜΟΙ!B112,sys!$B$50:$B$92,0))*D112</f>
        <v>0</v>
      </c>
      <c r="F112" s="792"/>
      <c r="G112" s="807"/>
      <c r="H112" s="808"/>
      <c r="I112" s="823"/>
      <c r="J112" s="824"/>
      <c r="K112" s="819">
        <f>IFERROR(IF((E112-I112)&gt;0,(E112-I112)*(G112/I112),0),0)</f>
        <v>0</v>
      </c>
      <c r="L112" s="820"/>
      <c r="M112" s="891">
        <f>G112+K112</f>
        <v>0</v>
      </c>
      <c r="N112" s="892"/>
      <c r="O112" s="850"/>
      <c r="P112" s="851"/>
      <c r="Q112" s="108">
        <f>IFERROR((O112/D112)*100,0)</f>
        <v>0</v>
      </c>
      <c r="S112" s="34"/>
      <c r="T112" s="34"/>
      <c r="U112" s="896" t="s">
        <v>328</v>
      </c>
      <c r="V112" s="826"/>
      <c r="W112" s="826"/>
      <c r="X112" s="826"/>
      <c r="Y112" s="826"/>
      <c r="Z112" s="826"/>
      <c r="AA112" s="826"/>
      <c r="AB112" s="826"/>
      <c r="AC112" s="826"/>
      <c r="AD112" s="827"/>
      <c r="AE112" s="211"/>
      <c r="AF112" s="179"/>
      <c r="AG112" s="179"/>
      <c r="AH112" s="179"/>
      <c r="AI112" s="179"/>
      <c r="AJ112" s="179"/>
      <c r="AK112" s="179"/>
      <c r="AL112" s="179"/>
      <c r="AM112" s="179"/>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1"/>
      <c r="BI112" s="191"/>
      <c r="BJ112" s="191"/>
      <c r="BK112" s="191"/>
      <c r="BL112" s="191"/>
      <c r="BM112" s="191"/>
      <c r="BN112" s="191"/>
      <c r="BO112" s="191"/>
      <c r="BP112" s="191"/>
      <c r="BQ112" s="191"/>
      <c r="BR112" s="191"/>
      <c r="BS112" s="191"/>
      <c r="BT112" s="191"/>
      <c r="BU112" s="191"/>
      <c r="BV112" s="191"/>
      <c r="BW112" s="191"/>
      <c r="BX112" s="191"/>
      <c r="BY112" s="191"/>
      <c r="BZ112" s="191"/>
      <c r="CA112" s="191"/>
    </row>
    <row r="113" spans="1:79">
      <c r="A113" s="80">
        <v>2</v>
      </c>
      <c r="B113" s="536" t="s">
        <v>278</v>
      </c>
      <c r="C113" s="537"/>
      <c r="D113" s="147"/>
      <c r="E113" s="789">
        <f>INDEX(sys!$K$50:$K$92,MATCH(ΥΠΟΛΟΓΙΣΜΟΙ!B113,sys!$B$50:$B$92,0))*D113</f>
        <v>0</v>
      </c>
      <c r="F113" s="790"/>
      <c r="G113" s="807"/>
      <c r="H113" s="808"/>
      <c r="I113" s="823"/>
      <c r="J113" s="824"/>
      <c r="K113" s="817">
        <f>IFERROR(IF((E113-I113)&gt;0,(E113-I113)*(G113/I113),0),0)</f>
        <v>0</v>
      </c>
      <c r="L113" s="818"/>
      <c r="M113" s="828">
        <f>G113+K113</f>
        <v>0</v>
      </c>
      <c r="N113" s="829"/>
      <c r="O113" s="850"/>
      <c r="P113" s="851"/>
      <c r="Q113" s="109">
        <f>IFERROR((O113/D113)*100,0)</f>
        <v>0</v>
      </c>
      <c r="S113" s="34"/>
      <c r="T113" s="34"/>
      <c r="U113" s="825" t="s">
        <v>329</v>
      </c>
      <c r="V113" s="826"/>
      <c r="W113" s="826"/>
      <c r="X113" s="826"/>
      <c r="Y113" s="826"/>
      <c r="Z113" s="826"/>
      <c r="AA113" s="826"/>
      <c r="AB113" s="826"/>
      <c r="AC113" s="826"/>
      <c r="AD113" s="827"/>
      <c r="AE113" s="211"/>
      <c r="AF113" s="179"/>
      <c r="AG113" s="179"/>
      <c r="AH113" s="179"/>
      <c r="AI113" s="179"/>
      <c r="AJ113" s="179"/>
      <c r="AK113" s="179"/>
      <c r="AL113" s="179"/>
      <c r="AM113" s="179"/>
      <c r="AN113" s="191"/>
      <c r="AO113" s="191"/>
      <c r="AP113" s="191"/>
      <c r="AQ113" s="191"/>
      <c r="AR113" s="191"/>
      <c r="AS113" s="191"/>
      <c r="AT113" s="191"/>
      <c r="AU113" s="191"/>
      <c r="AV113" s="191"/>
      <c r="AW113" s="191"/>
      <c r="AX113" s="191"/>
      <c r="AY113" s="191"/>
      <c r="AZ113" s="191"/>
      <c r="BA113" s="191"/>
      <c r="BB113" s="191"/>
      <c r="BC113" s="191"/>
      <c r="BD113" s="191"/>
      <c r="BE113" s="191"/>
      <c r="BF113" s="191"/>
      <c r="BG113" s="191"/>
      <c r="BH113" s="191"/>
      <c r="BI113" s="191"/>
      <c r="BJ113" s="191"/>
      <c r="BK113" s="191"/>
      <c r="BL113" s="191"/>
      <c r="BM113" s="191"/>
      <c r="BN113" s="191"/>
      <c r="BO113" s="191"/>
      <c r="BP113" s="191"/>
      <c r="BQ113" s="191"/>
      <c r="BR113" s="191"/>
      <c r="BS113" s="191"/>
      <c r="BT113" s="191"/>
      <c r="BU113" s="191"/>
      <c r="BV113" s="191"/>
      <c r="BW113" s="191"/>
      <c r="BX113" s="191"/>
      <c r="BY113" s="191"/>
      <c r="BZ113" s="191"/>
      <c r="CA113" s="191"/>
    </row>
    <row r="114" spans="1:79">
      <c r="A114" s="82">
        <v>3</v>
      </c>
      <c r="B114" s="802" t="s">
        <v>278</v>
      </c>
      <c r="C114" s="803"/>
      <c r="D114" s="148"/>
      <c r="E114" s="814">
        <f>INDEX(sys!$K$50:$K$92,MATCH(ΥΠΟΛΟΓΙΣΜΟΙ!B114,sys!$B$50:$B$92,0))*D114</f>
        <v>0</v>
      </c>
      <c r="F114" s="815"/>
      <c r="G114" s="816"/>
      <c r="H114" s="808"/>
      <c r="I114" s="823"/>
      <c r="J114" s="824"/>
      <c r="K114" s="817">
        <f>IFERROR(IF((E114-I114)&gt;0,(E114-I114)*(G114/I114),0),0)</f>
        <v>0</v>
      </c>
      <c r="L114" s="818"/>
      <c r="M114" s="821">
        <f>G114+K114</f>
        <v>0</v>
      </c>
      <c r="N114" s="822"/>
      <c r="O114" s="805"/>
      <c r="P114" s="806"/>
      <c r="Q114" s="109">
        <f>IFERROR((O114/D114)*100,0)</f>
        <v>0</v>
      </c>
      <c r="S114" s="34"/>
      <c r="T114" s="34"/>
      <c r="U114" s="878" t="s">
        <v>330</v>
      </c>
      <c r="V114" s="879"/>
      <c r="W114" s="879"/>
      <c r="X114" s="879"/>
      <c r="Y114" s="879"/>
      <c r="Z114" s="879"/>
      <c r="AA114" s="879"/>
      <c r="AB114" s="879"/>
      <c r="AC114" s="879"/>
      <c r="AD114" s="880"/>
      <c r="AE114" s="211"/>
      <c r="AF114" s="179"/>
      <c r="AG114" s="179"/>
      <c r="AH114" s="179"/>
      <c r="AI114" s="179"/>
      <c r="AJ114" s="179"/>
      <c r="AK114" s="179"/>
      <c r="AL114" s="179"/>
      <c r="AM114" s="179"/>
      <c r="AN114" s="191"/>
      <c r="AO114" s="191"/>
      <c r="AP114" s="191"/>
      <c r="AQ114" s="191"/>
      <c r="AR114" s="191"/>
      <c r="AS114" s="191"/>
      <c r="AT114" s="191"/>
      <c r="AU114" s="191"/>
      <c r="AV114" s="191"/>
      <c r="AW114" s="191"/>
      <c r="AX114" s="191"/>
      <c r="AY114" s="191"/>
      <c r="AZ114" s="191"/>
      <c r="BA114" s="191"/>
      <c r="BB114" s="191"/>
      <c r="BC114" s="191"/>
      <c r="BD114" s="191"/>
      <c r="BE114" s="191"/>
      <c r="BF114" s="191"/>
      <c r="BG114" s="191"/>
      <c r="BH114" s="191"/>
      <c r="BI114" s="191"/>
      <c r="BJ114" s="191"/>
      <c r="BK114" s="191"/>
      <c r="BL114" s="191"/>
      <c r="BM114" s="191"/>
      <c r="BN114" s="191"/>
      <c r="BO114" s="191"/>
      <c r="BP114" s="191"/>
      <c r="BQ114" s="191"/>
      <c r="BR114" s="191"/>
      <c r="BS114" s="191"/>
      <c r="BT114" s="191"/>
      <c r="BU114" s="191"/>
      <c r="BV114" s="191"/>
      <c r="BW114" s="191"/>
      <c r="BX114" s="191"/>
      <c r="BY114" s="191"/>
      <c r="BZ114" s="191"/>
      <c r="CA114" s="191"/>
    </row>
    <row r="115" spans="1:79">
      <c r="A115" s="110"/>
      <c r="B115" s="110"/>
      <c r="C115" s="110"/>
      <c r="D115" s="110"/>
      <c r="E115" s="110"/>
      <c r="F115" s="110"/>
      <c r="G115" s="110"/>
      <c r="H115" s="884" t="s">
        <v>312</v>
      </c>
      <c r="I115" s="884"/>
      <c r="J115" s="884"/>
      <c r="K115" s="884"/>
      <c r="L115" s="885"/>
      <c r="M115" s="886">
        <f>SUM(M112:N114)</f>
        <v>0</v>
      </c>
      <c r="N115" s="887"/>
      <c r="O115" s="904" t="s">
        <v>367</v>
      </c>
      <c r="P115" s="905"/>
      <c r="Q115" s="169" t="str">
        <f>IFERROR(100*(O112+O113+O114)/(D112+D113+D114),"0")</f>
        <v>0</v>
      </c>
      <c r="R115" s="110"/>
      <c r="S115" s="804" t="s">
        <v>336</v>
      </c>
      <c r="T115" s="804"/>
      <c r="U115" s="825" t="s">
        <v>316</v>
      </c>
      <c r="V115" s="826"/>
      <c r="W115" s="826"/>
      <c r="X115" s="826"/>
      <c r="Y115" s="826"/>
      <c r="Z115" s="826"/>
      <c r="AA115" s="826"/>
      <c r="AB115" s="826"/>
      <c r="AC115" s="826"/>
      <c r="AD115" s="827"/>
      <c r="AE115" s="211"/>
      <c r="AF115" s="179"/>
      <c r="AG115" s="179"/>
      <c r="AH115" s="179"/>
      <c r="AI115" s="179"/>
      <c r="AJ115" s="179"/>
      <c r="AK115" s="179"/>
      <c r="AL115" s="179"/>
      <c r="AM115" s="179"/>
      <c r="AN115" s="191"/>
      <c r="AO115" s="191"/>
      <c r="AP115" s="191"/>
      <c r="AQ115" s="191"/>
      <c r="AR115" s="191"/>
      <c r="AS115" s="191"/>
      <c r="AT115" s="191"/>
      <c r="AU115" s="191"/>
      <c r="AV115" s="191"/>
      <c r="AW115" s="191"/>
      <c r="AX115" s="191"/>
      <c r="AY115" s="191"/>
      <c r="AZ115" s="191"/>
      <c r="BA115" s="191"/>
      <c r="BB115" s="191"/>
      <c r="BC115" s="191"/>
      <c r="BD115" s="191"/>
      <c r="BE115" s="191"/>
      <c r="BF115" s="191"/>
      <c r="BG115" s="191"/>
      <c r="BH115" s="191"/>
      <c r="BI115" s="191"/>
      <c r="BJ115" s="191"/>
      <c r="BK115" s="191"/>
      <c r="BL115" s="191"/>
      <c r="BM115" s="191"/>
      <c r="BN115" s="191"/>
      <c r="BO115" s="191"/>
      <c r="BP115" s="191"/>
      <c r="BQ115" s="191"/>
      <c r="BR115" s="191"/>
      <c r="BS115" s="191"/>
      <c r="BT115" s="191"/>
      <c r="BU115" s="191"/>
      <c r="BV115" s="191"/>
      <c r="BW115" s="191"/>
      <c r="BX115" s="191"/>
      <c r="BY115" s="191"/>
      <c r="BZ115" s="191"/>
      <c r="CA115" s="191"/>
    </row>
    <row r="116" spans="1:79">
      <c r="U116" s="111"/>
      <c r="AE116" s="211"/>
      <c r="AF116" s="179"/>
      <c r="AG116" s="179"/>
      <c r="AH116" s="179"/>
      <c r="AI116" s="179"/>
      <c r="AJ116" s="179"/>
      <c r="AK116" s="179"/>
      <c r="AL116" s="179"/>
      <c r="AM116" s="179"/>
      <c r="AN116" s="191"/>
      <c r="AO116" s="191"/>
      <c r="AP116" s="191"/>
      <c r="AQ116" s="191"/>
      <c r="AR116" s="191"/>
      <c r="AS116" s="191"/>
      <c r="AT116" s="191"/>
      <c r="AU116" s="191"/>
      <c r="AV116" s="191"/>
      <c r="AW116" s="191"/>
      <c r="AX116" s="191"/>
      <c r="AY116" s="191"/>
      <c r="AZ116" s="191"/>
      <c r="BA116" s="191"/>
      <c r="BB116" s="191"/>
      <c r="BC116" s="191"/>
      <c r="BD116" s="191"/>
      <c r="BE116" s="191"/>
      <c r="BF116" s="191"/>
      <c r="BG116" s="191"/>
      <c r="BH116" s="191"/>
      <c r="BI116" s="191"/>
      <c r="BJ116" s="191"/>
      <c r="BK116" s="191"/>
      <c r="BL116" s="191"/>
      <c r="BM116" s="191"/>
      <c r="BN116" s="191"/>
      <c r="BO116" s="191"/>
      <c r="BP116" s="191"/>
      <c r="BQ116" s="191"/>
      <c r="BR116" s="191"/>
      <c r="BS116" s="191"/>
      <c r="BT116" s="191"/>
      <c r="BU116" s="191"/>
      <c r="BV116" s="191"/>
      <c r="BW116" s="191"/>
      <c r="BX116" s="191"/>
      <c r="BY116" s="191"/>
      <c r="BZ116" s="191"/>
      <c r="CA116" s="191"/>
    </row>
    <row r="117" spans="1:79" ht="14.4" customHeight="1">
      <c r="U117" s="890" t="s">
        <v>366</v>
      </c>
      <c r="V117" s="890"/>
      <c r="W117" s="890"/>
      <c r="X117" s="890"/>
      <c r="AE117" s="211"/>
      <c r="AF117" s="179"/>
      <c r="AG117" s="179"/>
      <c r="AH117" s="179"/>
      <c r="AI117" s="179"/>
      <c r="AJ117" s="179"/>
      <c r="AK117" s="179"/>
      <c r="AL117" s="179"/>
      <c r="AM117" s="179"/>
      <c r="AN117" s="191"/>
      <c r="AO117" s="191"/>
      <c r="AP117" s="191"/>
      <c r="AQ117" s="191"/>
      <c r="AR117" s="191"/>
      <c r="AS117" s="191"/>
      <c r="AT117" s="191"/>
      <c r="AU117" s="191"/>
      <c r="AV117" s="191"/>
      <c r="AW117" s="191"/>
      <c r="AX117" s="191"/>
      <c r="AY117" s="191"/>
      <c r="AZ117" s="191"/>
      <c r="BA117" s="191"/>
      <c r="BB117" s="191"/>
      <c r="BC117" s="191"/>
      <c r="BD117" s="191"/>
      <c r="BE117" s="191"/>
      <c r="BF117" s="191"/>
      <c r="BG117" s="191"/>
      <c r="BH117" s="191"/>
      <c r="BI117" s="191"/>
      <c r="BJ117" s="191"/>
      <c r="BK117" s="191"/>
      <c r="BL117" s="191"/>
      <c r="BM117" s="191"/>
      <c r="BN117" s="191"/>
      <c r="BO117" s="191"/>
      <c r="BP117" s="191"/>
      <c r="BQ117" s="191"/>
      <c r="BR117" s="191"/>
      <c r="BS117" s="191"/>
      <c r="BT117" s="191"/>
      <c r="BU117" s="191"/>
      <c r="BV117" s="191"/>
      <c r="BW117" s="191"/>
      <c r="BX117" s="191"/>
      <c r="BY117" s="191"/>
      <c r="BZ117" s="191"/>
      <c r="CA117" s="191"/>
    </row>
    <row r="118" spans="1:79" ht="15.6">
      <c r="A118" s="810" t="s">
        <v>335</v>
      </c>
      <c r="B118" s="810"/>
      <c r="C118" s="810"/>
      <c r="D118" s="810"/>
      <c r="E118" s="810"/>
      <c r="F118" s="810"/>
      <c r="G118" s="810"/>
      <c r="H118" s="810"/>
      <c r="I118" s="810"/>
      <c r="J118" s="810"/>
      <c r="K118" s="810"/>
      <c r="L118" s="810"/>
      <c r="M118" s="810"/>
      <c r="N118" s="810"/>
      <c r="O118" s="810"/>
      <c r="P118" s="810"/>
      <c r="Q118" s="810"/>
      <c r="R118" s="810"/>
      <c r="S118" s="810"/>
      <c r="T118" s="810"/>
      <c r="U118" s="890"/>
      <c r="V118" s="890"/>
      <c r="W118" s="890"/>
      <c r="X118" s="890"/>
      <c r="AE118" s="211"/>
      <c r="AF118" s="179"/>
      <c r="AG118" s="179"/>
      <c r="AH118" s="179"/>
      <c r="AI118" s="179"/>
      <c r="AJ118" s="179"/>
      <c r="AK118" s="179"/>
      <c r="AL118" s="179"/>
      <c r="AM118" s="179"/>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1"/>
      <c r="BI118" s="191"/>
      <c r="BJ118" s="191"/>
      <c r="BK118" s="191"/>
      <c r="BL118" s="191"/>
      <c r="BM118" s="191"/>
      <c r="BN118" s="191"/>
      <c r="BO118" s="191"/>
      <c r="BP118" s="191"/>
      <c r="BQ118" s="191"/>
      <c r="BR118" s="191"/>
      <c r="BS118" s="191"/>
      <c r="BT118" s="191"/>
      <c r="BU118" s="191"/>
      <c r="BV118" s="191"/>
      <c r="BW118" s="191"/>
      <c r="BX118" s="191"/>
      <c r="BY118" s="191"/>
      <c r="BZ118" s="191"/>
      <c r="CA118" s="191"/>
    </row>
    <row r="119" spans="1:79">
      <c r="A119" s="811" t="s">
        <v>333</v>
      </c>
      <c r="B119" s="811"/>
      <c r="C119" s="811"/>
      <c r="D119" s="811"/>
      <c r="E119" s="811"/>
      <c r="F119" s="811"/>
      <c r="G119" s="811"/>
      <c r="H119" s="811"/>
      <c r="I119" s="811"/>
      <c r="J119" s="811"/>
      <c r="K119" s="811"/>
      <c r="L119" s="811"/>
      <c r="M119" s="811"/>
      <c r="N119" s="811"/>
      <c r="O119" s="811"/>
      <c r="P119" s="811"/>
      <c r="Q119" s="811"/>
      <c r="R119" s="811"/>
      <c r="S119" s="811"/>
      <c r="T119" s="811"/>
      <c r="U119" s="890"/>
      <c r="V119" s="890"/>
      <c r="W119" s="890"/>
      <c r="X119" s="890"/>
      <c r="AE119" s="211"/>
      <c r="AF119" s="179"/>
      <c r="AG119" s="179"/>
      <c r="AH119" s="179"/>
      <c r="AI119" s="179"/>
      <c r="AJ119" s="179"/>
      <c r="AK119" s="179"/>
      <c r="AL119" s="179"/>
      <c r="AM119" s="179"/>
      <c r="AN119" s="191"/>
      <c r="AO119" s="191"/>
      <c r="AP119" s="191"/>
      <c r="AQ119" s="191"/>
      <c r="AR119" s="191"/>
      <c r="AS119" s="191"/>
      <c r="AT119" s="191"/>
      <c r="AU119" s="191"/>
      <c r="AV119" s="191"/>
      <c r="AW119" s="191"/>
      <c r="AX119" s="191"/>
      <c r="AY119" s="191"/>
      <c r="AZ119" s="191"/>
      <c r="BA119" s="191"/>
      <c r="BB119" s="191"/>
      <c r="BC119" s="191"/>
      <c r="BD119" s="191"/>
      <c r="BE119" s="191"/>
      <c r="BF119" s="191"/>
      <c r="BG119" s="191"/>
      <c r="BH119" s="191"/>
      <c r="BI119" s="191"/>
      <c r="BJ119" s="191"/>
      <c r="BK119" s="191"/>
      <c r="BL119" s="191"/>
      <c r="BM119" s="191"/>
      <c r="BN119" s="191"/>
      <c r="BO119" s="191"/>
      <c r="BP119" s="191"/>
      <c r="BQ119" s="191"/>
      <c r="BR119" s="191"/>
      <c r="BS119" s="191"/>
      <c r="BT119" s="191"/>
      <c r="BU119" s="191"/>
      <c r="BV119" s="191"/>
      <c r="BW119" s="191"/>
      <c r="BX119" s="191"/>
      <c r="BY119" s="191"/>
      <c r="BZ119" s="191"/>
      <c r="CA119" s="191"/>
    </row>
    <row r="120" spans="1:79" ht="28.95" customHeight="1">
      <c r="A120" s="812" t="s">
        <v>838</v>
      </c>
      <c r="B120" s="813"/>
      <c r="C120" s="813"/>
      <c r="D120" s="813"/>
      <c r="E120" s="813"/>
      <c r="F120" s="813"/>
      <c r="G120" s="813"/>
      <c r="H120" s="813"/>
      <c r="I120" s="813"/>
      <c r="J120" s="813"/>
      <c r="K120" s="813"/>
      <c r="L120" s="813"/>
      <c r="M120" s="813"/>
      <c r="N120" s="813"/>
      <c r="O120" s="813"/>
      <c r="P120" s="813"/>
      <c r="Q120" s="813"/>
      <c r="R120" s="813"/>
      <c r="S120" s="813"/>
      <c r="T120" s="813"/>
      <c r="U120" s="890" t="s">
        <v>602</v>
      </c>
      <c r="V120" s="890"/>
      <c r="W120" s="890"/>
      <c r="X120" s="890"/>
      <c r="AE120" s="211"/>
      <c r="AF120" s="179"/>
      <c r="AG120" s="179"/>
      <c r="AH120" s="179"/>
      <c r="AI120" s="179"/>
      <c r="AJ120" s="179"/>
      <c r="AK120" s="179"/>
      <c r="AL120" s="179"/>
      <c r="AM120" s="179"/>
      <c r="AN120" s="191"/>
      <c r="AO120" s="191"/>
      <c r="AP120" s="191"/>
      <c r="AQ120" s="191"/>
      <c r="AR120" s="191"/>
      <c r="AS120" s="191"/>
      <c r="AT120" s="191"/>
      <c r="AU120" s="191"/>
      <c r="AV120" s="191"/>
      <c r="AW120" s="191"/>
      <c r="AX120" s="191"/>
      <c r="AY120" s="191"/>
      <c r="AZ120" s="191"/>
      <c r="BA120" s="191"/>
      <c r="BB120" s="191"/>
      <c r="BC120" s="191"/>
      <c r="BD120" s="191"/>
      <c r="BE120" s="191"/>
      <c r="BF120" s="191"/>
      <c r="BG120" s="191"/>
      <c r="BH120" s="191"/>
      <c r="BI120" s="191"/>
      <c r="BJ120" s="191"/>
      <c r="BK120" s="191"/>
      <c r="BL120" s="191"/>
      <c r="BM120" s="191"/>
      <c r="BN120" s="191"/>
      <c r="BO120" s="191"/>
      <c r="BP120" s="191"/>
      <c r="BQ120" s="191"/>
      <c r="BR120" s="191"/>
      <c r="BS120" s="191"/>
      <c r="BT120" s="191"/>
      <c r="BU120" s="191"/>
      <c r="BV120" s="191"/>
      <c r="BW120" s="191"/>
      <c r="BX120" s="191"/>
      <c r="BY120" s="191"/>
      <c r="BZ120" s="191"/>
      <c r="CA120" s="191"/>
    </row>
    <row r="121" spans="1:79">
      <c r="A121" s="112"/>
      <c r="B121" s="112"/>
      <c r="C121" s="112"/>
      <c r="D121" s="112"/>
      <c r="E121" s="112"/>
      <c r="F121" s="112"/>
      <c r="G121" s="112"/>
      <c r="H121" s="112"/>
      <c r="I121" s="112"/>
      <c r="J121" s="112"/>
      <c r="K121" s="112"/>
      <c r="L121" s="112"/>
      <c r="M121" s="112"/>
      <c r="N121" s="112"/>
      <c r="O121" s="112"/>
      <c r="P121" s="112"/>
      <c r="Q121" s="112"/>
      <c r="R121" s="112"/>
      <c r="S121" s="112"/>
      <c r="T121" s="112"/>
      <c r="U121" s="111"/>
      <c r="AE121" s="211"/>
      <c r="AF121" s="179"/>
      <c r="AG121" s="179"/>
      <c r="AH121" s="179"/>
      <c r="AI121" s="179"/>
      <c r="AJ121" s="179"/>
      <c r="AK121" s="179"/>
      <c r="AL121" s="179"/>
      <c r="AM121" s="179"/>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191"/>
      <c r="BI121" s="191"/>
      <c r="BJ121" s="191"/>
      <c r="BK121" s="191"/>
      <c r="BL121" s="191"/>
      <c r="BM121" s="191"/>
      <c r="BN121" s="191"/>
      <c r="BO121" s="191"/>
      <c r="BP121" s="191"/>
      <c r="BQ121" s="191"/>
      <c r="BR121" s="191"/>
      <c r="BS121" s="191"/>
      <c r="BT121" s="191"/>
      <c r="BU121" s="191"/>
      <c r="BV121" s="191"/>
      <c r="BW121" s="191"/>
      <c r="BX121" s="191"/>
      <c r="BY121" s="191"/>
      <c r="BZ121" s="191"/>
      <c r="CA121" s="191"/>
    </row>
    <row r="122" spans="1:79" ht="25.2" customHeight="1">
      <c r="A122" s="809" t="s">
        <v>337</v>
      </c>
      <c r="B122" s="809"/>
      <c r="C122" s="809"/>
      <c r="D122" s="809"/>
      <c r="E122" s="809"/>
      <c r="F122" s="809"/>
      <c r="G122" s="809"/>
      <c r="H122" s="809"/>
      <c r="I122" s="809"/>
      <c r="J122" s="809"/>
      <c r="K122" s="809"/>
      <c r="L122" s="809"/>
      <c r="M122" s="809"/>
      <c r="N122" s="809"/>
      <c r="O122" s="809"/>
      <c r="P122" s="809"/>
      <c r="Q122" s="809"/>
      <c r="R122" s="809"/>
      <c r="S122" s="809"/>
      <c r="T122" s="809"/>
      <c r="U122" s="903" t="str">
        <f>Q5</f>
        <v>Energy Cert. Adapt  ver.5.00</v>
      </c>
      <c r="V122" s="903"/>
      <c r="W122" s="903"/>
      <c r="X122" s="903"/>
      <c r="Y122" s="113"/>
      <c r="Z122" s="113"/>
      <c r="AA122" s="875" t="s">
        <v>662</v>
      </c>
      <c r="AB122" s="876"/>
      <c r="AC122" s="876"/>
      <c r="AD122" s="877"/>
      <c r="AE122" s="211"/>
      <c r="AF122" s="179"/>
      <c r="AG122" s="179"/>
      <c r="AH122" s="179"/>
      <c r="AI122" s="179"/>
      <c r="AJ122" s="179"/>
      <c r="AK122" s="179"/>
      <c r="AL122" s="179"/>
      <c r="AM122" s="179"/>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1"/>
      <c r="BI122" s="191"/>
      <c r="BJ122" s="191"/>
      <c r="BK122" s="191"/>
      <c r="BL122" s="191"/>
      <c r="BM122" s="191"/>
      <c r="BN122" s="191"/>
      <c r="BO122" s="191"/>
      <c r="BP122" s="191"/>
      <c r="BQ122" s="191"/>
      <c r="BR122" s="191"/>
      <c r="BS122" s="191"/>
      <c r="BT122" s="191"/>
      <c r="BU122" s="191"/>
      <c r="BV122" s="191"/>
      <c r="BW122" s="191"/>
      <c r="BX122" s="191"/>
      <c r="BY122" s="191"/>
      <c r="BZ122" s="191"/>
      <c r="CA122" s="191"/>
    </row>
    <row r="123" spans="1:79" ht="15.6">
      <c r="A123" s="114"/>
      <c r="B123" s="114"/>
      <c r="C123" s="114"/>
      <c r="D123" s="114"/>
      <c r="E123" s="114"/>
      <c r="F123" s="114"/>
      <c r="G123" s="114"/>
      <c r="H123" s="114"/>
      <c r="I123" s="114"/>
      <c r="J123" s="114"/>
      <c r="K123" s="114"/>
      <c r="L123" s="114"/>
      <c r="M123" s="114"/>
      <c r="N123" s="114"/>
      <c r="O123" s="114"/>
      <c r="P123" s="114"/>
      <c r="Q123" s="114"/>
      <c r="R123" s="114"/>
      <c r="S123" s="114"/>
      <c r="T123" s="114"/>
      <c r="U123" s="111"/>
      <c r="AE123" s="211"/>
      <c r="AF123" s="179"/>
      <c r="AG123" s="179"/>
      <c r="AH123" s="179"/>
      <c r="AI123" s="179"/>
      <c r="AJ123" s="179"/>
      <c r="AK123" s="179"/>
      <c r="AL123" s="179"/>
      <c r="AM123" s="179"/>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1"/>
      <c r="BM123" s="191"/>
      <c r="BN123" s="191"/>
      <c r="BO123" s="191"/>
      <c r="BP123" s="191"/>
      <c r="BQ123" s="191"/>
      <c r="BR123" s="191"/>
      <c r="BS123" s="191"/>
      <c r="BT123" s="191"/>
      <c r="BU123" s="191"/>
      <c r="BV123" s="191"/>
      <c r="BW123" s="191"/>
      <c r="BX123" s="191"/>
      <c r="BY123" s="191"/>
      <c r="BZ123" s="191"/>
      <c r="CA123" s="191"/>
    </row>
    <row r="124" spans="1:79" ht="15" thickBot="1">
      <c r="U124" s="111"/>
      <c r="AE124" s="211"/>
      <c r="AF124" s="179"/>
      <c r="AG124" s="179"/>
      <c r="AH124" s="179"/>
      <c r="AI124" s="179"/>
      <c r="AJ124" s="179"/>
      <c r="AK124" s="179"/>
      <c r="AL124" s="179"/>
      <c r="AM124" s="179"/>
      <c r="AN124" s="191"/>
      <c r="AO124" s="191"/>
      <c r="AP124" s="191"/>
      <c r="AQ124" s="191"/>
      <c r="AR124" s="191"/>
      <c r="AS124" s="191"/>
      <c r="AT124" s="191"/>
      <c r="AU124" s="191"/>
      <c r="AV124" s="191"/>
      <c r="AW124" s="191"/>
      <c r="AX124" s="191"/>
      <c r="AY124" s="191"/>
      <c r="AZ124" s="191"/>
      <c r="BA124" s="191"/>
      <c r="BB124" s="191"/>
      <c r="BC124" s="191"/>
      <c r="BD124" s="191"/>
      <c r="BE124" s="191"/>
      <c r="BF124" s="191"/>
      <c r="BG124" s="191"/>
      <c r="BH124" s="191"/>
      <c r="BI124" s="191"/>
      <c r="BJ124" s="191"/>
      <c r="BK124" s="191"/>
      <c r="BL124" s="191"/>
      <c r="BM124" s="191"/>
      <c r="BN124" s="191"/>
      <c r="BO124" s="191"/>
      <c r="BP124" s="191"/>
      <c r="BQ124" s="191"/>
      <c r="BR124" s="191"/>
      <c r="BS124" s="191"/>
      <c r="BT124" s="191"/>
      <c r="BU124" s="191"/>
      <c r="BV124" s="191"/>
      <c r="BW124" s="191"/>
      <c r="BX124" s="191"/>
      <c r="BY124" s="191"/>
      <c r="BZ124" s="191"/>
      <c r="CA124" s="191"/>
    </row>
    <row r="125" spans="1:79" ht="15" thickTop="1">
      <c r="A125" s="215"/>
      <c r="B125" s="215"/>
      <c r="C125" s="215"/>
      <c r="D125" s="215"/>
      <c r="E125" s="215"/>
      <c r="F125" s="215"/>
      <c r="G125" s="215"/>
      <c r="H125" s="215"/>
      <c r="I125" s="215"/>
      <c r="J125" s="215"/>
      <c r="K125" s="215"/>
      <c r="L125" s="215"/>
      <c r="M125" s="215"/>
      <c r="N125" s="215"/>
      <c r="O125" s="215"/>
      <c r="P125" s="215"/>
      <c r="Q125" s="215"/>
      <c r="R125" s="215"/>
      <c r="S125" s="215"/>
      <c r="T125" s="215"/>
      <c r="U125" s="216"/>
      <c r="V125" s="215"/>
      <c r="W125" s="215"/>
      <c r="X125" s="215"/>
      <c r="Y125" s="215"/>
      <c r="Z125" s="215"/>
      <c r="AA125" s="215"/>
      <c r="AB125" s="215"/>
      <c r="AC125" s="215"/>
      <c r="AD125" s="215"/>
      <c r="AE125" s="214"/>
      <c r="AF125" s="214"/>
      <c r="AG125" s="214"/>
      <c r="AH125" s="214"/>
      <c r="AI125" s="214"/>
      <c r="AJ125" s="214"/>
      <c r="AK125" s="214"/>
      <c r="AL125" s="214"/>
      <c r="AM125" s="214"/>
      <c r="AN125" s="191"/>
      <c r="AO125" s="191"/>
      <c r="AP125" s="191"/>
      <c r="AQ125" s="191"/>
      <c r="AR125" s="191"/>
      <c r="AS125" s="191"/>
      <c r="AT125" s="191"/>
      <c r="AU125" s="191"/>
      <c r="AV125" s="191"/>
      <c r="AW125" s="191"/>
      <c r="AX125" s="191"/>
      <c r="AY125" s="191"/>
      <c r="AZ125" s="191"/>
      <c r="BA125" s="191"/>
      <c r="BB125" s="191"/>
      <c r="BC125" s="191"/>
      <c r="BD125" s="191"/>
      <c r="BE125" s="191"/>
      <c r="BF125" s="191"/>
      <c r="BG125" s="191"/>
      <c r="BH125" s="191"/>
      <c r="BI125" s="191"/>
      <c r="BJ125" s="191"/>
      <c r="BK125" s="191"/>
      <c r="BL125" s="191"/>
      <c r="BM125" s="191"/>
      <c r="BN125" s="191"/>
      <c r="BO125" s="191"/>
      <c r="BP125" s="191"/>
      <c r="BQ125" s="191"/>
      <c r="BR125" s="191"/>
      <c r="BS125" s="191"/>
      <c r="BT125" s="191"/>
      <c r="BU125" s="191"/>
      <c r="BV125" s="191"/>
      <c r="BW125" s="191"/>
      <c r="BX125" s="191"/>
      <c r="BY125" s="191"/>
      <c r="BZ125" s="191"/>
      <c r="CA125" s="191"/>
    </row>
    <row r="126" spans="1:79">
      <c r="A126" s="189"/>
      <c r="B126" s="189"/>
      <c r="C126" s="189"/>
      <c r="D126" s="189"/>
      <c r="E126" s="189"/>
      <c r="F126" s="189"/>
      <c r="G126" s="189"/>
      <c r="H126" s="189"/>
      <c r="I126" s="189"/>
      <c r="J126" s="189"/>
      <c r="K126" s="189"/>
      <c r="L126" s="189"/>
      <c r="M126" s="189"/>
      <c r="N126" s="189"/>
      <c r="O126" s="189"/>
      <c r="P126" s="189"/>
      <c r="Q126" s="189"/>
      <c r="R126" s="189"/>
      <c r="S126" s="189"/>
      <c r="T126" s="189"/>
      <c r="U126" s="217"/>
      <c r="V126" s="189"/>
      <c r="W126" s="189"/>
      <c r="X126" s="189"/>
      <c r="Y126" s="189"/>
      <c r="Z126" s="189"/>
      <c r="AA126" s="189"/>
      <c r="AB126" s="189"/>
      <c r="AC126" s="189"/>
      <c r="AD126" s="189"/>
      <c r="AE126" s="214"/>
      <c r="AF126" s="214"/>
      <c r="AG126" s="214"/>
      <c r="AH126" s="214"/>
      <c r="AI126" s="214"/>
      <c r="AJ126" s="214"/>
      <c r="AK126" s="214"/>
      <c r="AL126" s="214"/>
      <c r="AM126" s="214"/>
      <c r="AN126" s="191"/>
      <c r="AO126" s="191"/>
      <c r="AP126" s="191"/>
      <c r="AQ126" s="191"/>
      <c r="AR126" s="191"/>
      <c r="AS126" s="191"/>
      <c r="AT126" s="191"/>
      <c r="AU126" s="191"/>
      <c r="AV126" s="191"/>
      <c r="AW126" s="191"/>
      <c r="AX126" s="191"/>
      <c r="AY126" s="191"/>
      <c r="AZ126" s="191"/>
      <c r="BA126" s="191"/>
      <c r="BB126" s="191"/>
      <c r="BC126" s="191"/>
      <c r="BD126" s="191"/>
      <c r="BE126" s="191"/>
      <c r="BF126" s="191"/>
      <c r="BG126" s="191"/>
      <c r="BH126" s="191"/>
      <c r="BI126" s="191"/>
      <c r="BJ126" s="191"/>
      <c r="BK126" s="191"/>
      <c r="BL126" s="191"/>
      <c r="BM126" s="191"/>
      <c r="BN126" s="191"/>
      <c r="BO126" s="191"/>
      <c r="BP126" s="191"/>
      <c r="BQ126" s="191"/>
      <c r="BR126" s="191"/>
      <c r="BS126" s="191"/>
      <c r="BT126" s="191"/>
      <c r="BU126" s="191"/>
      <c r="BV126" s="191"/>
      <c r="BW126" s="191"/>
      <c r="BX126" s="191"/>
      <c r="BY126" s="191"/>
      <c r="BZ126" s="191"/>
      <c r="CA126" s="191"/>
    </row>
    <row r="127" spans="1:79">
      <c r="A127" s="191"/>
      <c r="B127" s="191"/>
      <c r="C127" s="191"/>
      <c r="D127" s="191"/>
      <c r="E127" s="191"/>
      <c r="F127" s="191"/>
      <c r="G127" s="191"/>
      <c r="H127" s="191"/>
      <c r="I127" s="191"/>
      <c r="J127" s="191"/>
      <c r="K127" s="191"/>
      <c r="L127" s="191"/>
      <c r="M127" s="191"/>
      <c r="N127" s="191"/>
      <c r="O127" s="191"/>
      <c r="P127" s="191"/>
      <c r="Q127" s="191"/>
      <c r="R127" s="191"/>
      <c r="S127" s="191"/>
      <c r="T127" s="191"/>
      <c r="U127" s="218"/>
      <c r="V127" s="191"/>
      <c r="W127" s="191"/>
      <c r="X127" s="191"/>
      <c r="Y127" s="191"/>
      <c r="Z127" s="191"/>
      <c r="AA127" s="191"/>
      <c r="AB127" s="191"/>
      <c r="AC127" s="191"/>
      <c r="AD127" s="191"/>
      <c r="AE127" s="214"/>
      <c r="AF127" s="214"/>
      <c r="AG127" s="214"/>
      <c r="AH127" s="214"/>
      <c r="AI127" s="214"/>
      <c r="AJ127" s="214"/>
      <c r="AK127" s="214"/>
      <c r="AL127" s="214"/>
      <c r="AM127" s="214"/>
      <c r="AN127" s="191"/>
      <c r="AO127" s="191"/>
      <c r="AP127" s="191"/>
      <c r="AQ127" s="191"/>
      <c r="AR127" s="191"/>
      <c r="AS127" s="191"/>
      <c r="AT127" s="191"/>
      <c r="AU127" s="191"/>
      <c r="AV127" s="191"/>
      <c r="AW127" s="191"/>
      <c r="AX127" s="191"/>
      <c r="AY127" s="191"/>
      <c r="AZ127" s="191"/>
      <c r="BA127" s="191"/>
      <c r="BB127" s="191"/>
      <c r="BC127" s="191"/>
      <c r="BD127" s="191"/>
      <c r="BE127" s="191"/>
      <c r="BF127" s="191"/>
      <c r="BG127" s="191"/>
      <c r="BH127" s="191"/>
      <c r="BI127" s="191"/>
      <c r="BJ127" s="191"/>
      <c r="BK127" s="191"/>
      <c r="BL127" s="191"/>
      <c r="BM127" s="191"/>
      <c r="BN127" s="191"/>
      <c r="BO127" s="191"/>
      <c r="BP127" s="191"/>
      <c r="BQ127" s="191"/>
      <c r="BR127" s="191"/>
      <c r="BS127" s="191"/>
      <c r="BT127" s="191"/>
      <c r="BU127" s="191"/>
      <c r="BV127" s="191"/>
      <c r="BW127" s="191"/>
      <c r="BX127" s="191"/>
      <c r="BY127" s="191"/>
      <c r="BZ127" s="191"/>
      <c r="CA127" s="191"/>
    </row>
    <row r="128" spans="1:79">
      <c r="A128" s="191"/>
      <c r="B128" s="191"/>
      <c r="C128" s="191"/>
      <c r="D128" s="191"/>
      <c r="E128" s="191"/>
      <c r="F128" s="191"/>
      <c r="G128" s="191"/>
      <c r="H128" s="191"/>
      <c r="I128" s="191"/>
      <c r="J128" s="191"/>
      <c r="K128" s="191"/>
      <c r="L128" s="191"/>
      <c r="M128" s="191"/>
      <c r="N128" s="191"/>
      <c r="O128" s="191"/>
      <c r="P128" s="191"/>
      <c r="Q128" s="191"/>
      <c r="R128" s="191"/>
      <c r="S128" s="191"/>
      <c r="T128" s="191"/>
      <c r="U128" s="218"/>
      <c r="V128" s="191"/>
      <c r="W128" s="191"/>
      <c r="X128" s="191"/>
      <c r="Y128" s="191"/>
      <c r="Z128" s="191"/>
      <c r="AA128" s="191"/>
      <c r="AB128" s="191"/>
      <c r="AC128" s="191"/>
      <c r="AD128" s="191"/>
      <c r="AE128" s="214"/>
      <c r="AF128" s="214"/>
      <c r="AG128" s="214"/>
      <c r="AH128" s="214"/>
      <c r="AI128" s="214"/>
      <c r="AJ128" s="214"/>
      <c r="AK128" s="214"/>
      <c r="AL128" s="214"/>
      <c r="AM128" s="214"/>
      <c r="AN128" s="191"/>
      <c r="AO128" s="191"/>
      <c r="AP128" s="191"/>
      <c r="AQ128" s="191"/>
      <c r="AR128" s="191"/>
      <c r="AS128" s="191"/>
      <c r="AT128" s="191"/>
      <c r="AU128" s="191"/>
      <c r="AV128" s="191"/>
      <c r="AW128" s="191"/>
      <c r="AX128" s="191"/>
      <c r="AY128" s="191"/>
      <c r="AZ128" s="191"/>
      <c r="BA128" s="191"/>
      <c r="BB128" s="191"/>
      <c r="BC128" s="191"/>
      <c r="BD128" s="191"/>
      <c r="BE128" s="191"/>
      <c r="BF128" s="191"/>
      <c r="BG128" s="191"/>
      <c r="BH128" s="191"/>
      <c r="BI128" s="191"/>
      <c r="BJ128" s="191"/>
      <c r="BK128" s="191"/>
      <c r="BL128" s="191"/>
      <c r="BM128" s="191"/>
      <c r="BN128" s="191"/>
      <c r="BO128" s="191"/>
      <c r="BP128" s="191"/>
      <c r="BQ128" s="191"/>
      <c r="BR128" s="191"/>
      <c r="BS128" s="191"/>
      <c r="BT128" s="191"/>
      <c r="BU128" s="191"/>
      <c r="BV128" s="191"/>
      <c r="BW128" s="191"/>
      <c r="BX128" s="191"/>
      <c r="BY128" s="191"/>
      <c r="BZ128" s="191"/>
      <c r="CA128" s="191"/>
    </row>
    <row r="129" spans="1:79">
      <c r="A129" s="191"/>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214"/>
      <c r="AF129" s="214"/>
      <c r="AG129" s="214"/>
      <c r="AH129" s="214"/>
      <c r="AI129" s="214"/>
      <c r="AJ129" s="214"/>
      <c r="AK129" s="214"/>
      <c r="AL129" s="214"/>
      <c r="AM129" s="214"/>
      <c r="AN129" s="191"/>
      <c r="AO129" s="191"/>
      <c r="AP129" s="191"/>
      <c r="AQ129" s="191"/>
      <c r="AR129" s="191"/>
      <c r="AS129" s="191"/>
      <c r="AT129" s="191"/>
      <c r="AU129" s="191"/>
      <c r="AV129" s="191"/>
      <c r="AW129" s="191"/>
      <c r="AX129" s="191"/>
      <c r="AY129" s="191"/>
      <c r="AZ129" s="191"/>
      <c r="BA129" s="191"/>
      <c r="BB129" s="191"/>
      <c r="BC129" s="191"/>
      <c r="BD129" s="191"/>
      <c r="BE129" s="191"/>
      <c r="BF129" s="191"/>
      <c r="BG129" s="191"/>
      <c r="BH129" s="191"/>
      <c r="BI129" s="191"/>
      <c r="BJ129" s="191"/>
      <c r="BK129" s="191"/>
      <c r="BL129" s="191"/>
      <c r="BM129" s="191"/>
      <c r="BN129" s="191"/>
      <c r="BO129" s="191"/>
      <c r="BP129" s="191"/>
      <c r="BQ129" s="191"/>
      <c r="BR129" s="191"/>
      <c r="BS129" s="191"/>
      <c r="BT129" s="191"/>
      <c r="BU129" s="191"/>
      <c r="BV129" s="191"/>
      <c r="BW129" s="191"/>
      <c r="BX129" s="191"/>
      <c r="BY129" s="191"/>
      <c r="BZ129" s="191"/>
      <c r="CA129" s="191"/>
    </row>
    <row r="130" spans="1:79">
      <c r="A130" s="191"/>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214"/>
      <c r="AF130" s="214"/>
      <c r="AG130" s="214"/>
      <c r="AH130" s="214"/>
      <c r="AI130" s="214"/>
      <c r="AJ130" s="214"/>
      <c r="AK130" s="214"/>
      <c r="AL130" s="214"/>
      <c r="AM130" s="214"/>
      <c r="AN130" s="191"/>
      <c r="AO130" s="191"/>
      <c r="AP130" s="191"/>
      <c r="AQ130" s="191"/>
      <c r="AR130" s="191"/>
      <c r="AS130" s="191"/>
      <c r="AT130" s="191"/>
      <c r="AU130" s="191"/>
      <c r="AV130" s="191"/>
      <c r="AW130" s="191"/>
      <c r="AX130" s="191"/>
      <c r="AY130" s="191"/>
      <c r="AZ130" s="191"/>
      <c r="BA130" s="191"/>
      <c r="BB130" s="191"/>
      <c r="BC130" s="191"/>
      <c r="BD130" s="191"/>
      <c r="BE130" s="191"/>
      <c r="BF130" s="191"/>
      <c r="BG130" s="191"/>
      <c r="BH130" s="191"/>
      <c r="BI130" s="191"/>
      <c r="BJ130" s="191"/>
      <c r="BK130" s="191"/>
      <c r="BL130" s="191"/>
      <c r="BM130" s="191"/>
      <c r="BN130" s="191"/>
      <c r="BO130" s="191"/>
      <c r="BP130" s="191"/>
      <c r="BQ130" s="191"/>
      <c r="BR130" s="191"/>
      <c r="BS130" s="191"/>
      <c r="BT130" s="191"/>
      <c r="BU130" s="191"/>
      <c r="BV130" s="191"/>
      <c r="BW130" s="191"/>
      <c r="BX130" s="191"/>
      <c r="BY130" s="191"/>
      <c r="BZ130" s="191"/>
      <c r="CA130" s="191"/>
    </row>
    <row r="131" spans="1:79">
      <c r="A131" s="191"/>
      <c r="B131" s="191"/>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214"/>
      <c r="AF131" s="214"/>
      <c r="AG131" s="214"/>
      <c r="AH131" s="214"/>
      <c r="AI131" s="214"/>
      <c r="AJ131" s="214"/>
      <c r="AK131" s="214"/>
      <c r="AL131" s="214"/>
      <c r="AM131" s="214"/>
      <c r="AN131" s="191"/>
      <c r="AO131" s="191"/>
      <c r="AP131" s="191"/>
      <c r="AQ131" s="191"/>
      <c r="AR131" s="191"/>
      <c r="AS131" s="191"/>
      <c r="AT131" s="191"/>
      <c r="AU131" s="191"/>
      <c r="AV131" s="191"/>
      <c r="AW131" s="191"/>
      <c r="AX131" s="191"/>
      <c r="AY131" s="191"/>
      <c r="AZ131" s="191"/>
      <c r="BA131" s="191"/>
      <c r="BB131" s="191"/>
      <c r="BC131" s="191"/>
      <c r="BD131" s="191"/>
      <c r="BE131" s="191"/>
      <c r="BF131" s="191"/>
      <c r="BG131" s="191"/>
      <c r="BH131" s="191"/>
      <c r="BI131" s="191"/>
      <c r="BJ131" s="191"/>
      <c r="BK131" s="191"/>
      <c r="BL131" s="191"/>
      <c r="BM131" s="191"/>
      <c r="BN131" s="191"/>
      <c r="BO131" s="191"/>
      <c r="BP131" s="191"/>
      <c r="BQ131" s="191"/>
      <c r="BR131" s="191"/>
      <c r="BS131" s="191"/>
      <c r="BT131" s="191"/>
      <c r="BU131" s="191"/>
      <c r="BV131" s="191"/>
      <c r="BW131" s="191"/>
      <c r="BX131" s="191"/>
      <c r="BY131" s="191"/>
      <c r="BZ131" s="191"/>
      <c r="CA131" s="191"/>
    </row>
    <row r="132" spans="1:79">
      <c r="A132" s="191"/>
      <c r="B132" s="191"/>
      <c r="C132" s="191"/>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c r="Z132" s="191"/>
      <c r="AA132" s="191"/>
      <c r="AB132" s="191"/>
      <c r="AC132" s="191"/>
      <c r="AD132" s="191"/>
      <c r="AE132" s="214"/>
      <c r="AF132" s="214"/>
      <c r="AG132" s="214"/>
      <c r="AH132" s="214"/>
      <c r="AI132" s="214"/>
      <c r="AJ132" s="214"/>
      <c r="AK132" s="214"/>
      <c r="AL132" s="214"/>
      <c r="AM132" s="214"/>
      <c r="AN132" s="191"/>
      <c r="AO132" s="191"/>
      <c r="AP132" s="191"/>
      <c r="AQ132" s="191"/>
      <c r="AR132" s="191"/>
      <c r="AS132" s="191"/>
      <c r="AT132" s="191"/>
      <c r="AU132" s="191"/>
      <c r="AV132" s="191"/>
      <c r="AW132" s="191"/>
      <c r="AX132" s="191"/>
      <c r="AY132" s="191"/>
      <c r="AZ132" s="191"/>
      <c r="BA132" s="191"/>
      <c r="BB132" s="191"/>
      <c r="BC132" s="191"/>
      <c r="BD132" s="191"/>
      <c r="BE132" s="191"/>
      <c r="BF132" s="191"/>
      <c r="BG132" s="191"/>
      <c r="BH132" s="191"/>
      <c r="BI132" s="191"/>
      <c r="BJ132" s="191"/>
      <c r="BK132" s="191"/>
      <c r="BL132" s="191"/>
      <c r="BM132" s="191"/>
      <c r="BN132" s="191"/>
      <c r="BO132" s="191"/>
      <c r="BP132" s="191"/>
      <c r="BQ132" s="191"/>
      <c r="BR132" s="191"/>
      <c r="BS132" s="191"/>
      <c r="BT132" s="191"/>
      <c r="BU132" s="191"/>
      <c r="BV132" s="191"/>
      <c r="BW132" s="191"/>
      <c r="BX132" s="191"/>
      <c r="BY132" s="191"/>
      <c r="BZ132" s="191"/>
      <c r="CA132" s="191"/>
    </row>
    <row r="133" spans="1:79">
      <c r="A133" s="191"/>
      <c r="B133" s="191"/>
      <c r="C133" s="191"/>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1"/>
      <c r="AE133" s="214"/>
      <c r="AF133" s="214"/>
      <c r="AG133" s="214"/>
      <c r="AH133" s="214"/>
      <c r="AI133" s="214"/>
      <c r="AJ133" s="214"/>
      <c r="AK133" s="214"/>
      <c r="AL133" s="214"/>
      <c r="AM133" s="214"/>
      <c r="AN133" s="191"/>
      <c r="AO133" s="191"/>
      <c r="AP133" s="191"/>
      <c r="AQ133" s="191"/>
      <c r="AR133" s="191"/>
      <c r="AS133" s="191"/>
      <c r="AT133" s="191"/>
      <c r="AU133" s="191"/>
      <c r="AV133" s="191"/>
      <c r="AW133" s="191"/>
      <c r="AX133" s="191"/>
      <c r="AY133" s="191"/>
      <c r="AZ133" s="191"/>
      <c r="BA133" s="191"/>
      <c r="BB133" s="191"/>
      <c r="BC133" s="191"/>
      <c r="BD133" s="191"/>
      <c r="BE133" s="191"/>
      <c r="BF133" s="191"/>
      <c r="BG133" s="191"/>
      <c r="BH133" s="191"/>
      <c r="BI133" s="191"/>
      <c r="BJ133" s="191"/>
      <c r="BK133" s="191"/>
      <c r="BL133" s="191"/>
      <c r="BM133" s="191"/>
      <c r="BN133" s="191"/>
      <c r="BO133" s="191"/>
      <c r="BP133" s="191"/>
      <c r="BQ133" s="191"/>
      <c r="BR133" s="191"/>
      <c r="BS133" s="191"/>
      <c r="BT133" s="191"/>
      <c r="BU133" s="191"/>
      <c r="BV133" s="191"/>
      <c r="BW133" s="191"/>
      <c r="BX133" s="191"/>
      <c r="BY133" s="191"/>
      <c r="BZ133" s="191"/>
      <c r="CA133" s="191"/>
    </row>
    <row r="134" spans="1:79">
      <c r="A134" s="191"/>
      <c r="B134" s="191"/>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214"/>
      <c r="AF134" s="214"/>
      <c r="AG134" s="214"/>
      <c r="AH134" s="214"/>
      <c r="AI134" s="214"/>
      <c r="AJ134" s="214"/>
      <c r="AK134" s="214"/>
      <c r="AL134" s="214"/>
      <c r="AM134" s="214"/>
      <c r="AN134" s="191"/>
      <c r="AO134" s="191"/>
      <c r="AP134" s="191"/>
      <c r="AQ134" s="191"/>
      <c r="AR134" s="191"/>
      <c r="AS134" s="191"/>
      <c r="AT134" s="191"/>
      <c r="AU134" s="191"/>
      <c r="AV134" s="191"/>
      <c r="AW134" s="191"/>
      <c r="AX134" s="191"/>
      <c r="AY134" s="191"/>
      <c r="AZ134" s="191"/>
      <c r="BA134" s="191"/>
      <c r="BB134" s="191"/>
      <c r="BC134" s="191"/>
      <c r="BD134" s="191"/>
      <c r="BE134" s="191"/>
      <c r="BF134" s="191"/>
      <c r="BG134" s="191"/>
      <c r="BH134" s="191"/>
      <c r="BI134" s="191"/>
      <c r="BJ134" s="191"/>
      <c r="BK134" s="191"/>
      <c r="BL134" s="191"/>
      <c r="BM134" s="191"/>
      <c r="BN134" s="191"/>
      <c r="BO134" s="191"/>
      <c r="BP134" s="191"/>
      <c r="BQ134" s="191"/>
      <c r="BR134" s="191"/>
      <c r="BS134" s="191"/>
      <c r="BT134" s="191"/>
      <c r="BU134" s="191"/>
      <c r="BV134" s="191"/>
      <c r="BW134" s="191"/>
      <c r="BX134" s="191"/>
      <c r="BY134" s="191"/>
      <c r="BZ134" s="191"/>
      <c r="CA134" s="191"/>
    </row>
    <row r="135" spans="1:79">
      <c r="A135" s="191"/>
      <c r="B135" s="191"/>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c r="AA135" s="191"/>
      <c r="AB135" s="191"/>
      <c r="AC135" s="191"/>
      <c r="AD135" s="191"/>
      <c r="AE135" s="214"/>
      <c r="AF135" s="214"/>
      <c r="AG135" s="214"/>
      <c r="AH135" s="214"/>
      <c r="AI135" s="214"/>
      <c r="AJ135" s="214"/>
      <c r="AK135" s="214"/>
      <c r="AL135" s="214"/>
      <c r="AM135" s="214"/>
      <c r="AN135" s="191"/>
      <c r="AO135" s="191"/>
      <c r="AP135" s="191"/>
      <c r="AQ135" s="191"/>
      <c r="AR135" s="191"/>
      <c r="AS135" s="191"/>
      <c r="AT135" s="191"/>
      <c r="AU135" s="191"/>
      <c r="AV135" s="191"/>
      <c r="AW135" s="191"/>
      <c r="AX135" s="191"/>
      <c r="AY135" s="191"/>
      <c r="AZ135" s="191"/>
      <c r="BA135" s="191"/>
      <c r="BB135" s="191"/>
      <c r="BC135" s="191"/>
      <c r="BD135" s="191"/>
      <c r="BE135" s="191"/>
      <c r="BF135" s="191"/>
      <c r="BG135" s="191"/>
      <c r="BH135" s="191"/>
      <c r="BI135" s="191"/>
      <c r="BJ135" s="191"/>
      <c r="BK135" s="191"/>
      <c r="BL135" s="191"/>
      <c r="BM135" s="191"/>
      <c r="BN135" s="191"/>
      <c r="BO135" s="191"/>
      <c r="BP135" s="191"/>
      <c r="BQ135" s="191"/>
      <c r="BR135" s="191"/>
      <c r="BS135" s="191"/>
      <c r="BT135" s="191"/>
      <c r="BU135" s="191"/>
      <c r="BV135" s="191"/>
      <c r="BW135" s="191"/>
      <c r="BX135" s="191"/>
      <c r="BY135" s="191"/>
      <c r="BZ135" s="191"/>
      <c r="CA135" s="191"/>
    </row>
    <row r="136" spans="1:79">
      <c r="A136" s="191"/>
      <c r="B136" s="191"/>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c r="Z136" s="191"/>
      <c r="AA136" s="191"/>
      <c r="AB136" s="191"/>
      <c r="AC136" s="191"/>
      <c r="AD136" s="191"/>
      <c r="AE136" s="214"/>
      <c r="AF136" s="214"/>
      <c r="AG136" s="214"/>
      <c r="AH136" s="214"/>
      <c r="AI136" s="214"/>
      <c r="AJ136" s="214"/>
      <c r="AK136" s="214"/>
      <c r="AL136" s="214"/>
      <c r="AM136" s="214"/>
      <c r="AN136" s="191"/>
      <c r="AO136" s="191"/>
      <c r="AP136" s="191"/>
      <c r="AQ136" s="191"/>
      <c r="AR136" s="191"/>
      <c r="AS136" s="191"/>
      <c r="AT136" s="191"/>
      <c r="AU136" s="191"/>
      <c r="AV136" s="191"/>
      <c r="AW136" s="191"/>
      <c r="AX136" s="191"/>
      <c r="AY136" s="191"/>
      <c r="AZ136" s="191"/>
      <c r="BA136" s="191"/>
      <c r="BB136" s="191"/>
      <c r="BC136" s="191"/>
      <c r="BD136" s="191"/>
      <c r="BE136" s="191"/>
      <c r="BF136" s="191"/>
      <c r="BG136" s="191"/>
      <c r="BH136" s="191"/>
      <c r="BI136" s="191"/>
      <c r="BJ136" s="191"/>
      <c r="BK136" s="191"/>
      <c r="BL136" s="191"/>
      <c r="BM136" s="191"/>
      <c r="BN136" s="191"/>
      <c r="BO136" s="191"/>
      <c r="BP136" s="191"/>
      <c r="BQ136" s="191"/>
      <c r="BR136" s="191"/>
      <c r="BS136" s="191"/>
      <c r="BT136" s="191"/>
      <c r="BU136" s="191"/>
      <c r="BV136" s="191"/>
      <c r="BW136" s="191"/>
      <c r="BX136" s="191"/>
      <c r="BY136" s="191"/>
      <c r="BZ136" s="191"/>
      <c r="CA136" s="191"/>
    </row>
    <row r="137" spans="1:79">
      <c r="A137" s="191"/>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c r="Z137" s="191"/>
      <c r="AA137" s="191"/>
      <c r="AB137" s="191"/>
      <c r="AC137" s="191"/>
      <c r="AD137" s="191"/>
      <c r="AE137" s="214"/>
      <c r="AF137" s="214"/>
      <c r="AG137" s="214"/>
      <c r="AH137" s="214"/>
      <c r="AI137" s="214"/>
      <c r="AJ137" s="214"/>
      <c r="AK137" s="214"/>
      <c r="AL137" s="214"/>
      <c r="AM137" s="214"/>
      <c r="AN137" s="191"/>
      <c r="AO137" s="191"/>
      <c r="AP137" s="191"/>
      <c r="AQ137" s="191"/>
      <c r="AR137" s="191"/>
      <c r="AS137" s="191"/>
      <c r="AT137" s="191"/>
      <c r="AU137" s="191"/>
      <c r="AV137" s="191"/>
      <c r="AW137" s="191"/>
      <c r="AX137" s="191"/>
      <c r="AY137" s="191"/>
      <c r="AZ137" s="191"/>
      <c r="BA137" s="191"/>
      <c r="BB137" s="191"/>
      <c r="BC137" s="191"/>
      <c r="BD137" s="191"/>
      <c r="BE137" s="191"/>
      <c r="BF137" s="191"/>
      <c r="BG137" s="191"/>
      <c r="BH137" s="191"/>
      <c r="BI137" s="191"/>
      <c r="BJ137" s="191"/>
      <c r="BK137" s="191"/>
      <c r="BL137" s="191"/>
      <c r="BM137" s="191"/>
      <c r="BN137" s="191"/>
      <c r="BO137" s="191"/>
      <c r="BP137" s="191"/>
      <c r="BQ137" s="191"/>
      <c r="BR137" s="191"/>
      <c r="BS137" s="191"/>
      <c r="BT137" s="191"/>
      <c r="BU137" s="191"/>
      <c r="BV137" s="191"/>
      <c r="BW137" s="191"/>
      <c r="BX137" s="191"/>
      <c r="BY137" s="191"/>
      <c r="BZ137" s="191"/>
      <c r="CA137" s="191"/>
    </row>
    <row r="138" spans="1:79">
      <c r="A138" s="191"/>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214"/>
      <c r="AF138" s="214"/>
      <c r="AG138" s="214"/>
      <c r="AH138" s="214"/>
      <c r="AI138" s="214"/>
      <c r="AJ138" s="214"/>
      <c r="AK138" s="214"/>
      <c r="AL138" s="214"/>
      <c r="AM138" s="214"/>
      <c r="AN138" s="191"/>
      <c r="AO138" s="191"/>
      <c r="AP138" s="191"/>
      <c r="AQ138" s="191"/>
      <c r="AR138" s="191"/>
      <c r="AS138" s="191"/>
      <c r="AT138" s="191"/>
      <c r="AU138" s="191"/>
      <c r="AV138" s="191"/>
      <c r="AW138" s="191"/>
      <c r="AX138" s="191"/>
      <c r="AY138" s="191"/>
      <c r="AZ138" s="191"/>
      <c r="BA138" s="191"/>
      <c r="BB138" s="191"/>
      <c r="BC138" s="191"/>
      <c r="BD138" s="191"/>
      <c r="BE138" s="191"/>
      <c r="BF138" s="191"/>
      <c r="BG138" s="191"/>
      <c r="BH138" s="191"/>
      <c r="BI138" s="191"/>
      <c r="BJ138" s="191"/>
      <c r="BK138" s="191"/>
      <c r="BL138" s="191"/>
      <c r="BM138" s="191"/>
      <c r="BN138" s="191"/>
      <c r="BO138" s="191"/>
      <c r="BP138" s="191"/>
      <c r="BQ138" s="191"/>
      <c r="BR138" s="191"/>
      <c r="BS138" s="191"/>
      <c r="BT138" s="191"/>
      <c r="BU138" s="191"/>
      <c r="BV138" s="191"/>
      <c r="BW138" s="191"/>
      <c r="BX138" s="191"/>
      <c r="BY138" s="191"/>
      <c r="BZ138" s="191"/>
      <c r="CA138" s="191"/>
    </row>
    <row r="139" spans="1:79">
      <c r="A139" s="191"/>
      <c r="B139" s="191"/>
      <c r="C139" s="191"/>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214"/>
      <c r="AF139" s="214"/>
      <c r="AG139" s="214"/>
      <c r="AH139" s="214"/>
      <c r="AI139" s="214"/>
      <c r="AJ139" s="214"/>
      <c r="AK139" s="214"/>
      <c r="AL139" s="214"/>
      <c r="AM139" s="214"/>
      <c r="AN139" s="191"/>
      <c r="AO139" s="191"/>
      <c r="AP139" s="191"/>
      <c r="AQ139" s="191"/>
      <c r="AR139" s="191"/>
      <c r="AS139" s="191"/>
      <c r="AT139" s="191"/>
      <c r="AU139" s="191"/>
      <c r="AV139" s="191"/>
      <c r="AW139" s="191"/>
      <c r="AX139" s="191"/>
      <c r="AY139" s="191"/>
      <c r="AZ139" s="191"/>
      <c r="BA139" s="191"/>
      <c r="BB139" s="191"/>
      <c r="BC139" s="191"/>
      <c r="BD139" s="191"/>
      <c r="BE139" s="191"/>
      <c r="BF139" s="191"/>
      <c r="BG139" s="191"/>
      <c r="BH139" s="191"/>
      <c r="BI139" s="191"/>
      <c r="BJ139" s="191"/>
      <c r="BK139" s="191"/>
      <c r="BL139" s="191"/>
      <c r="BM139" s="191"/>
      <c r="BN139" s="191"/>
      <c r="BO139" s="191"/>
      <c r="BP139" s="191"/>
      <c r="BQ139" s="191"/>
      <c r="BR139" s="191"/>
      <c r="BS139" s="191"/>
      <c r="BT139" s="191"/>
      <c r="BU139" s="191"/>
      <c r="BV139" s="191"/>
      <c r="BW139" s="191"/>
      <c r="BX139" s="191"/>
      <c r="BY139" s="191"/>
      <c r="BZ139" s="191"/>
      <c r="CA139" s="191"/>
    </row>
    <row r="140" spans="1:79">
      <c r="A140" s="191"/>
      <c r="B140" s="191"/>
      <c r="C140" s="191"/>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214"/>
      <c r="AF140" s="214"/>
      <c r="AG140" s="214"/>
      <c r="AH140" s="214"/>
      <c r="AI140" s="214"/>
      <c r="AJ140" s="214"/>
      <c r="AK140" s="214"/>
      <c r="AL140" s="214"/>
      <c r="AM140" s="214"/>
      <c r="AN140" s="191"/>
      <c r="AO140" s="191"/>
      <c r="AP140" s="191"/>
      <c r="AQ140" s="191"/>
      <c r="AR140" s="191"/>
      <c r="AS140" s="191"/>
      <c r="AT140" s="191"/>
      <c r="AU140" s="191"/>
      <c r="AV140" s="191"/>
      <c r="AW140" s="191"/>
      <c r="AX140" s="191"/>
      <c r="AY140" s="191"/>
      <c r="AZ140" s="191"/>
      <c r="BA140" s="191"/>
      <c r="BB140" s="191"/>
      <c r="BC140" s="191"/>
      <c r="BD140" s="191"/>
      <c r="BE140" s="191"/>
      <c r="BF140" s="191"/>
      <c r="BG140" s="191"/>
      <c r="BH140" s="191"/>
      <c r="BI140" s="191"/>
      <c r="BJ140" s="191"/>
      <c r="BK140" s="191"/>
      <c r="BL140" s="191"/>
      <c r="BM140" s="191"/>
      <c r="BN140" s="191"/>
      <c r="BO140" s="191"/>
      <c r="BP140" s="191"/>
      <c r="BQ140" s="191"/>
      <c r="BR140" s="191"/>
      <c r="BS140" s="191"/>
      <c r="BT140" s="191"/>
      <c r="BU140" s="191"/>
      <c r="BV140" s="191"/>
      <c r="BW140" s="191"/>
      <c r="BX140" s="191"/>
      <c r="BY140" s="191"/>
      <c r="BZ140" s="191"/>
      <c r="CA140" s="191"/>
    </row>
    <row r="141" spans="1:79">
      <c r="A141" s="191"/>
      <c r="B141" s="191"/>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214"/>
      <c r="AF141" s="214"/>
      <c r="AG141" s="214"/>
      <c r="AH141" s="214"/>
      <c r="AI141" s="214"/>
      <c r="AJ141" s="214"/>
      <c r="AK141" s="214"/>
      <c r="AL141" s="214"/>
      <c r="AM141" s="214"/>
      <c r="AN141" s="191"/>
      <c r="AO141" s="191"/>
      <c r="AP141" s="191"/>
      <c r="AQ141" s="191"/>
      <c r="AR141" s="191"/>
      <c r="AS141" s="191"/>
      <c r="AT141" s="191"/>
      <c r="AU141" s="191"/>
      <c r="AV141" s="191"/>
      <c r="AW141" s="191"/>
      <c r="AX141" s="191"/>
      <c r="AY141" s="191"/>
      <c r="AZ141" s="191"/>
      <c r="BA141" s="191"/>
      <c r="BB141" s="191"/>
      <c r="BC141" s="191"/>
      <c r="BD141" s="191"/>
      <c r="BE141" s="191"/>
      <c r="BF141" s="191"/>
      <c r="BG141" s="191"/>
      <c r="BH141" s="191"/>
      <c r="BI141" s="191"/>
      <c r="BJ141" s="191"/>
      <c r="BK141" s="191"/>
      <c r="BL141" s="191"/>
      <c r="BM141" s="191"/>
      <c r="BN141" s="191"/>
      <c r="BO141" s="191"/>
      <c r="BP141" s="191"/>
      <c r="BQ141" s="191"/>
      <c r="BR141" s="191"/>
      <c r="BS141" s="191"/>
      <c r="BT141" s="191"/>
      <c r="BU141" s="191"/>
      <c r="BV141" s="191"/>
      <c r="BW141" s="191"/>
      <c r="BX141" s="191"/>
      <c r="BY141" s="191"/>
      <c r="BZ141" s="191"/>
      <c r="CA141" s="191"/>
    </row>
    <row r="142" spans="1:79">
      <c r="A142" s="191"/>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214"/>
      <c r="AF142" s="214"/>
      <c r="AG142" s="214"/>
      <c r="AH142" s="214"/>
      <c r="AI142" s="214"/>
      <c r="AJ142" s="214"/>
      <c r="AK142" s="214"/>
      <c r="AL142" s="214"/>
      <c r="AM142" s="214"/>
      <c r="AN142" s="191"/>
      <c r="AO142" s="191"/>
      <c r="AP142" s="191"/>
      <c r="AQ142" s="191"/>
      <c r="AR142" s="191"/>
      <c r="AS142" s="191"/>
      <c r="AT142" s="191"/>
      <c r="AU142" s="191"/>
      <c r="AV142" s="191"/>
      <c r="AW142" s="191"/>
      <c r="AX142" s="191"/>
      <c r="AY142" s="191"/>
      <c r="AZ142" s="191"/>
      <c r="BA142" s="191"/>
      <c r="BB142" s="191"/>
      <c r="BC142" s="191"/>
      <c r="BD142" s="191"/>
      <c r="BE142" s="191"/>
      <c r="BF142" s="191"/>
      <c r="BG142" s="191"/>
      <c r="BH142" s="191"/>
      <c r="BI142" s="191"/>
      <c r="BJ142" s="191"/>
      <c r="BK142" s="191"/>
      <c r="BL142" s="191"/>
      <c r="BM142" s="191"/>
      <c r="BN142" s="191"/>
      <c r="BO142" s="191"/>
      <c r="BP142" s="191"/>
      <c r="BQ142" s="191"/>
      <c r="BR142" s="191"/>
      <c r="BS142" s="191"/>
      <c r="BT142" s="191"/>
      <c r="BU142" s="191"/>
      <c r="BV142" s="191"/>
      <c r="BW142" s="191"/>
      <c r="BX142" s="191"/>
      <c r="BY142" s="191"/>
      <c r="BZ142" s="191"/>
      <c r="CA142" s="191"/>
    </row>
    <row r="143" spans="1:79">
      <c r="A143" s="191"/>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214"/>
      <c r="AF143" s="214"/>
      <c r="AG143" s="214"/>
      <c r="AH143" s="214"/>
      <c r="AI143" s="214"/>
      <c r="AJ143" s="214"/>
      <c r="AK143" s="214"/>
      <c r="AL143" s="214"/>
      <c r="AM143" s="214"/>
      <c r="AN143" s="191"/>
      <c r="AO143" s="191"/>
      <c r="AP143" s="191"/>
      <c r="AQ143" s="191"/>
      <c r="AR143" s="191"/>
      <c r="AS143" s="191"/>
      <c r="AT143" s="191"/>
      <c r="AU143" s="191"/>
      <c r="AV143" s="191"/>
      <c r="AW143" s="191"/>
      <c r="AX143" s="191"/>
      <c r="AY143" s="191"/>
      <c r="AZ143" s="191"/>
      <c r="BA143" s="191"/>
      <c r="BB143" s="191"/>
      <c r="BC143" s="191"/>
      <c r="BD143" s="191"/>
      <c r="BE143" s="191"/>
      <c r="BF143" s="191"/>
      <c r="BG143" s="191"/>
      <c r="BH143" s="191"/>
      <c r="BI143" s="191"/>
      <c r="BJ143" s="191"/>
      <c r="BK143" s="191"/>
      <c r="BL143" s="191"/>
      <c r="BM143" s="191"/>
      <c r="BN143" s="191"/>
      <c r="BO143" s="191"/>
      <c r="BP143" s="191"/>
      <c r="BQ143" s="191"/>
      <c r="BR143" s="191"/>
      <c r="BS143" s="191"/>
      <c r="BT143" s="191"/>
      <c r="BU143" s="191"/>
      <c r="BV143" s="191"/>
      <c r="BW143" s="191"/>
      <c r="BX143" s="191"/>
      <c r="BY143" s="191"/>
      <c r="BZ143" s="191"/>
      <c r="CA143" s="191"/>
    </row>
    <row r="144" spans="1:79">
      <c r="A144" s="191"/>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214"/>
      <c r="AF144" s="214"/>
      <c r="AG144" s="214"/>
      <c r="AH144" s="214"/>
      <c r="AI144" s="214"/>
      <c r="AJ144" s="214"/>
      <c r="AK144" s="214"/>
      <c r="AL144" s="214"/>
      <c r="AM144" s="214"/>
      <c r="AN144" s="191"/>
      <c r="AO144" s="191"/>
      <c r="AP144" s="191"/>
      <c r="AQ144" s="191"/>
      <c r="AR144" s="191"/>
      <c r="AS144" s="191"/>
      <c r="AT144" s="191"/>
      <c r="AU144" s="191"/>
      <c r="AV144" s="191"/>
      <c r="AW144" s="191"/>
      <c r="AX144" s="191"/>
      <c r="AY144" s="191"/>
      <c r="AZ144" s="191"/>
      <c r="BA144" s="191"/>
      <c r="BB144" s="191"/>
      <c r="BC144" s="191"/>
      <c r="BD144" s="191"/>
      <c r="BE144" s="191"/>
      <c r="BF144" s="191"/>
      <c r="BG144" s="191"/>
      <c r="BH144" s="191"/>
      <c r="BI144" s="191"/>
      <c r="BJ144" s="191"/>
      <c r="BK144" s="191"/>
      <c r="BL144" s="191"/>
      <c r="BM144" s="191"/>
      <c r="BN144" s="191"/>
      <c r="BO144" s="191"/>
      <c r="BP144" s="191"/>
      <c r="BQ144" s="191"/>
      <c r="BR144" s="191"/>
      <c r="BS144" s="191"/>
      <c r="BT144" s="191"/>
      <c r="BU144" s="191"/>
      <c r="BV144" s="191"/>
      <c r="BW144" s="191"/>
      <c r="BX144" s="191"/>
      <c r="BY144" s="191"/>
      <c r="BZ144" s="191"/>
      <c r="CA144" s="191"/>
    </row>
    <row r="145" spans="1:79">
      <c r="A145" s="191"/>
      <c r="B145" s="191"/>
      <c r="C145" s="191"/>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214"/>
      <c r="AF145" s="214"/>
      <c r="AG145" s="214"/>
      <c r="AH145" s="214"/>
      <c r="AI145" s="214"/>
      <c r="AJ145" s="214"/>
      <c r="AK145" s="214"/>
      <c r="AL145" s="214"/>
      <c r="AM145" s="214"/>
      <c r="AN145" s="191"/>
      <c r="AO145" s="191"/>
      <c r="AP145" s="191"/>
      <c r="AQ145" s="191"/>
      <c r="AR145" s="191"/>
      <c r="AS145" s="191"/>
      <c r="AT145" s="191"/>
      <c r="AU145" s="191"/>
      <c r="AV145" s="191"/>
      <c r="AW145" s="191"/>
      <c r="AX145" s="191"/>
      <c r="AY145" s="191"/>
      <c r="AZ145" s="191"/>
      <c r="BA145" s="191"/>
      <c r="BB145" s="191"/>
      <c r="BC145" s="191"/>
      <c r="BD145" s="191"/>
      <c r="BE145" s="191"/>
      <c r="BF145" s="191"/>
      <c r="BG145" s="191"/>
      <c r="BH145" s="191"/>
      <c r="BI145" s="191"/>
      <c r="BJ145" s="191"/>
      <c r="BK145" s="191"/>
      <c r="BL145" s="191"/>
      <c r="BM145" s="191"/>
      <c r="BN145" s="191"/>
      <c r="BO145" s="191"/>
      <c r="BP145" s="191"/>
      <c r="BQ145" s="191"/>
      <c r="BR145" s="191"/>
      <c r="BS145" s="191"/>
      <c r="BT145" s="191"/>
      <c r="BU145" s="191"/>
      <c r="BV145" s="191"/>
      <c r="BW145" s="191"/>
      <c r="BX145" s="191"/>
      <c r="BY145" s="191"/>
      <c r="BZ145" s="191"/>
      <c r="CA145" s="191"/>
    </row>
    <row r="146" spans="1:79">
      <c r="A146" s="191"/>
      <c r="B146" s="191"/>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214"/>
      <c r="AF146" s="214"/>
      <c r="AG146" s="214"/>
      <c r="AH146" s="214"/>
      <c r="AI146" s="214"/>
      <c r="AJ146" s="214"/>
      <c r="AK146" s="214"/>
      <c r="AL146" s="214"/>
      <c r="AM146" s="214"/>
      <c r="AN146" s="191"/>
      <c r="AO146" s="191"/>
      <c r="AP146" s="191"/>
      <c r="AQ146" s="191"/>
      <c r="AR146" s="191"/>
      <c r="AS146" s="191"/>
      <c r="AT146" s="191"/>
      <c r="AU146" s="191"/>
      <c r="AV146" s="191"/>
      <c r="AW146" s="191"/>
      <c r="AX146" s="191"/>
      <c r="AY146" s="191"/>
      <c r="AZ146" s="191"/>
      <c r="BA146" s="191"/>
      <c r="BB146" s="191"/>
      <c r="BC146" s="191"/>
      <c r="BD146" s="191"/>
      <c r="BE146" s="191"/>
      <c r="BF146" s="191"/>
      <c r="BG146" s="191"/>
      <c r="BH146" s="191"/>
      <c r="BI146" s="191"/>
      <c r="BJ146" s="191"/>
      <c r="BK146" s="191"/>
      <c r="BL146" s="191"/>
      <c r="BM146" s="191"/>
      <c r="BN146" s="191"/>
      <c r="BO146" s="191"/>
      <c r="BP146" s="191"/>
      <c r="BQ146" s="191"/>
      <c r="BR146" s="191"/>
      <c r="BS146" s="191"/>
      <c r="BT146" s="191"/>
      <c r="BU146" s="191"/>
      <c r="BV146" s="191"/>
      <c r="BW146" s="191"/>
      <c r="BX146" s="191"/>
      <c r="BY146" s="191"/>
      <c r="BZ146" s="191"/>
      <c r="CA146" s="191"/>
    </row>
    <row r="147" spans="1:79">
      <c r="A147" s="191"/>
      <c r="B147" s="191"/>
      <c r="C147" s="191"/>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214"/>
      <c r="AF147" s="214"/>
      <c r="AG147" s="214"/>
      <c r="AH147" s="214"/>
      <c r="AI147" s="214"/>
      <c r="AJ147" s="214"/>
      <c r="AK147" s="214"/>
      <c r="AL147" s="214"/>
      <c r="AM147" s="214"/>
      <c r="AN147" s="191"/>
      <c r="AO147" s="191"/>
      <c r="AP147" s="191"/>
      <c r="AQ147" s="191"/>
      <c r="AR147" s="191"/>
      <c r="AS147" s="191"/>
      <c r="AT147" s="191"/>
      <c r="AU147" s="191"/>
      <c r="AV147" s="191"/>
      <c r="AW147" s="191"/>
      <c r="AX147" s="191"/>
      <c r="AY147" s="191"/>
      <c r="AZ147" s="191"/>
      <c r="BA147" s="191"/>
      <c r="BB147" s="191"/>
      <c r="BC147" s="191"/>
      <c r="BD147" s="191"/>
      <c r="BE147" s="191"/>
      <c r="BF147" s="191"/>
      <c r="BG147" s="191"/>
      <c r="BH147" s="191"/>
      <c r="BI147" s="191"/>
      <c r="BJ147" s="191"/>
      <c r="BK147" s="191"/>
      <c r="BL147" s="191"/>
      <c r="BM147" s="191"/>
      <c r="BN147" s="191"/>
      <c r="BO147" s="191"/>
      <c r="BP147" s="191"/>
      <c r="BQ147" s="191"/>
      <c r="BR147" s="191"/>
      <c r="BS147" s="191"/>
      <c r="BT147" s="191"/>
      <c r="BU147" s="191"/>
      <c r="BV147" s="191"/>
      <c r="BW147" s="191"/>
      <c r="BX147" s="191"/>
      <c r="BY147" s="191"/>
      <c r="BZ147" s="191"/>
      <c r="CA147" s="191"/>
    </row>
  </sheetData>
  <dataConsolidate/>
  <mergeCells count="406">
    <mergeCell ref="M97:N97"/>
    <mergeCell ref="M55:N55"/>
    <mergeCell ref="M56:N56"/>
    <mergeCell ref="M57:N57"/>
    <mergeCell ref="P90:T90"/>
    <mergeCell ref="N2:O2"/>
    <mergeCell ref="P3:P4"/>
    <mergeCell ref="L78:M78"/>
    <mergeCell ref="L79:M79"/>
    <mergeCell ref="N83:O83"/>
    <mergeCell ref="N3:O3"/>
    <mergeCell ref="P86:T86"/>
    <mergeCell ref="P84:T84"/>
    <mergeCell ref="L77:M77"/>
    <mergeCell ref="N75:O75"/>
    <mergeCell ref="J83:M83"/>
    <mergeCell ref="L85:M85"/>
    <mergeCell ref="L84:M84"/>
    <mergeCell ref="J80:K80"/>
    <mergeCell ref="L80:M80"/>
    <mergeCell ref="P83:T83"/>
    <mergeCell ref="J85:K85"/>
    <mergeCell ref="AA122:AD122"/>
    <mergeCell ref="U114:AD114"/>
    <mergeCell ref="U115:AD115"/>
    <mergeCell ref="U104:AD109"/>
    <mergeCell ref="H115:L115"/>
    <mergeCell ref="M115:N115"/>
    <mergeCell ref="O111:P111"/>
    <mergeCell ref="O110:Q110"/>
    <mergeCell ref="O112:P112"/>
    <mergeCell ref="U120:X120"/>
    <mergeCell ref="I112:J112"/>
    <mergeCell ref="M112:N112"/>
    <mergeCell ref="U110:AD110"/>
    <mergeCell ref="U111:AD111"/>
    <mergeCell ref="U112:AD112"/>
    <mergeCell ref="I106:J106"/>
    <mergeCell ref="K105:L105"/>
    <mergeCell ref="K106:L106"/>
    <mergeCell ref="K108:L108"/>
    <mergeCell ref="M105:N105"/>
    <mergeCell ref="G108:H108"/>
    <mergeCell ref="U122:X122"/>
    <mergeCell ref="U117:X119"/>
    <mergeCell ref="O115:P115"/>
    <mergeCell ref="P85:T85"/>
    <mergeCell ref="M102:N102"/>
    <mergeCell ref="K94:L94"/>
    <mergeCell ref="K93:N93"/>
    <mergeCell ref="J89:K89"/>
    <mergeCell ref="K95:L95"/>
    <mergeCell ref="L86:M86"/>
    <mergeCell ref="L87:M87"/>
    <mergeCell ref="L88:M88"/>
    <mergeCell ref="H90:O90"/>
    <mergeCell ref="L89:M89"/>
    <mergeCell ref="A91:T91"/>
    <mergeCell ref="C86:D86"/>
    <mergeCell ref="H86:I86"/>
    <mergeCell ref="J86:K86"/>
    <mergeCell ref="C88:D88"/>
    <mergeCell ref="E88:F88"/>
    <mergeCell ref="H88:I88"/>
    <mergeCell ref="C87:D87"/>
    <mergeCell ref="H93:J93"/>
    <mergeCell ref="H98:J98"/>
    <mergeCell ref="A99:B99"/>
    <mergeCell ref="G100:H100"/>
    <mergeCell ref="A97:C97"/>
    <mergeCell ref="M106:N106"/>
    <mergeCell ref="U113:AD113"/>
    <mergeCell ref="M113:N113"/>
    <mergeCell ref="M101:N101"/>
    <mergeCell ref="Q75:S75"/>
    <mergeCell ref="L76:M76"/>
    <mergeCell ref="J78:K78"/>
    <mergeCell ref="J84:K84"/>
    <mergeCell ref="Q81:T81"/>
    <mergeCell ref="P87:T87"/>
    <mergeCell ref="P88:T88"/>
    <mergeCell ref="M104:O104"/>
    <mergeCell ref="O97:T97"/>
    <mergeCell ref="O103:Q103"/>
    <mergeCell ref="R103:S103"/>
    <mergeCell ref="K96:L96"/>
    <mergeCell ref="P89:T89"/>
    <mergeCell ref="O113:P113"/>
    <mergeCell ref="I113:J113"/>
    <mergeCell ref="K113:L113"/>
    <mergeCell ref="K110:L110"/>
    <mergeCell ref="I105:J105"/>
    <mergeCell ref="M110:N110"/>
    <mergeCell ref="O93:T96"/>
    <mergeCell ref="S115:T115"/>
    <mergeCell ref="O114:P114"/>
    <mergeCell ref="G112:H112"/>
    <mergeCell ref="M111:N111"/>
    <mergeCell ref="A122:T122"/>
    <mergeCell ref="A118:T118"/>
    <mergeCell ref="A119:T119"/>
    <mergeCell ref="A120:T120"/>
    <mergeCell ref="B114:C114"/>
    <mergeCell ref="B111:C111"/>
    <mergeCell ref="E114:F114"/>
    <mergeCell ref="G114:H114"/>
    <mergeCell ref="B113:C113"/>
    <mergeCell ref="K114:L114"/>
    <mergeCell ref="K112:L112"/>
    <mergeCell ref="G113:H113"/>
    <mergeCell ref="G111:H111"/>
    <mergeCell ref="M114:N114"/>
    <mergeCell ref="B112:C112"/>
    <mergeCell ref="I114:J114"/>
    <mergeCell ref="I110:J110"/>
    <mergeCell ref="E113:F113"/>
    <mergeCell ref="E112:F112"/>
    <mergeCell ref="K111:L111"/>
    <mergeCell ref="I108:J108"/>
    <mergeCell ref="M108:N108"/>
    <mergeCell ref="E111:F111"/>
    <mergeCell ref="E108:F108"/>
    <mergeCell ref="A110:C110"/>
    <mergeCell ref="B108:C108"/>
    <mergeCell ref="E110:F110"/>
    <mergeCell ref="I111:J111"/>
    <mergeCell ref="G110:H110"/>
    <mergeCell ref="C4:G4"/>
    <mergeCell ref="C5:G5"/>
    <mergeCell ref="C6:G6"/>
    <mergeCell ref="G12:H12"/>
    <mergeCell ref="C8:E8"/>
    <mergeCell ref="K11:M11"/>
    <mergeCell ref="N11:O11"/>
    <mergeCell ref="N5:P5"/>
    <mergeCell ref="G106:H106"/>
    <mergeCell ref="E106:F106"/>
    <mergeCell ref="B106:C106"/>
    <mergeCell ref="E84:F84"/>
    <mergeCell ref="H78:I78"/>
    <mergeCell ref="E105:F105"/>
    <mergeCell ref="G105:H105"/>
    <mergeCell ref="H103:I103"/>
    <mergeCell ref="A90:F90"/>
    <mergeCell ref="F93:G93"/>
    <mergeCell ref="H94:I94"/>
    <mergeCell ref="C99:D99"/>
    <mergeCell ref="A104:C104"/>
    <mergeCell ref="E101:F101"/>
    <mergeCell ref="E102:F102"/>
    <mergeCell ref="G101:H101"/>
    <mergeCell ref="C3:G3"/>
    <mergeCell ref="D12:E12"/>
    <mergeCell ref="H77:I77"/>
    <mergeCell ref="E76:F76"/>
    <mergeCell ref="H76:I76"/>
    <mergeCell ref="A38:G38"/>
    <mergeCell ref="A40:B40"/>
    <mergeCell ref="H9:M9"/>
    <mergeCell ref="H66:J66"/>
    <mergeCell ref="H3:K3"/>
    <mergeCell ref="H4:K4"/>
    <mergeCell ref="A16:B16"/>
    <mergeCell ref="H6:K6"/>
    <mergeCell ref="L7:M7"/>
    <mergeCell ref="L5:M5"/>
    <mergeCell ref="L4:M4"/>
    <mergeCell ref="G10:H10"/>
    <mergeCell ref="A12:C12"/>
    <mergeCell ref="K12:M12"/>
    <mergeCell ref="L3:M3"/>
    <mergeCell ref="L6:M6"/>
    <mergeCell ref="L8:M8"/>
    <mergeCell ref="A3:A6"/>
    <mergeCell ref="A11:C11"/>
    <mergeCell ref="B105:C105"/>
    <mergeCell ref="A64:C64"/>
    <mergeCell ref="D64:F64"/>
    <mergeCell ref="A14:G14"/>
    <mergeCell ref="M58:N58"/>
    <mergeCell ref="M59:N59"/>
    <mergeCell ref="J87:K87"/>
    <mergeCell ref="J88:K88"/>
    <mergeCell ref="E86:F86"/>
    <mergeCell ref="H95:I95"/>
    <mergeCell ref="A93:C93"/>
    <mergeCell ref="E85:F85"/>
    <mergeCell ref="E78:F78"/>
    <mergeCell ref="C80:D80"/>
    <mergeCell ref="C79:D79"/>
    <mergeCell ref="C78:D78"/>
    <mergeCell ref="H84:I84"/>
    <mergeCell ref="H80:I80"/>
    <mergeCell ref="H85:I85"/>
    <mergeCell ref="G102:H102"/>
    <mergeCell ref="H97:I97"/>
    <mergeCell ref="E104:H104"/>
    <mergeCell ref="H89:I89"/>
    <mergeCell ref="N82:T82"/>
    <mergeCell ref="U1:AD7"/>
    <mergeCell ref="AA42:AD42"/>
    <mergeCell ref="Q5:T5"/>
    <mergeCell ref="Q6:T6"/>
    <mergeCell ref="Q7:T7"/>
    <mergeCell ref="Q8:T8"/>
    <mergeCell ref="U14:Z14"/>
    <mergeCell ref="U42:Z42"/>
    <mergeCell ref="AA14:AD14"/>
    <mergeCell ref="AC15:AD15"/>
    <mergeCell ref="AA15:AB15"/>
    <mergeCell ref="Y15:Z15"/>
    <mergeCell ref="O15:T15"/>
    <mergeCell ref="N4:O4"/>
    <mergeCell ref="N6:P6"/>
    <mergeCell ref="N7:P7"/>
    <mergeCell ref="N12:O12"/>
    <mergeCell ref="N8:P8"/>
    <mergeCell ref="A1:K1"/>
    <mergeCell ref="A2:K2"/>
    <mergeCell ref="H5:K5"/>
    <mergeCell ref="K10:M10"/>
    <mergeCell ref="A10:B10"/>
    <mergeCell ref="AH44:AI44"/>
    <mergeCell ref="AA43:AD43"/>
    <mergeCell ref="E41:K41"/>
    <mergeCell ref="E42:K42"/>
    <mergeCell ref="C41:D41"/>
    <mergeCell ref="C42:D42"/>
    <mergeCell ref="K15:L15"/>
    <mergeCell ref="C15:G15"/>
    <mergeCell ref="I13:N13"/>
    <mergeCell ref="L37:Q37"/>
    <mergeCell ref="I14:N14"/>
    <mergeCell ref="I15:J15"/>
    <mergeCell ref="O14:T14"/>
    <mergeCell ref="C10:E10"/>
    <mergeCell ref="AE12:AM12"/>
    <mergeCell ref="AF44:AG44"/>
    <mergeCell ref="U15:V15"/>
    <mergeCell ref="W15:X15"/>
    <mergeCell ref="V8:AC8"/>
    <mergeCell ref="A8:B8"/>
    <mergeCell ref="G11:H11"/>
    <mergeCell ref="F8:K8"/>
    <mergeCell ref="AF14:AG14"/>
    <mergeCell ref="BQ42:BR42"/>
    <mergeCell ref="BO13:BT13"/>
    <mergeCell ref="BO14:BP14"/>
    <mergeCell ref="BQ14:BR14"/>
    <mergeCell ref="BS14:BT14"/>
    <mergeCell ref="AJ15:AK15"/>
    <mergeCell ref="A9:E9"/>
    <mergeCell ref="P9:T9"/>
    <mergeCell ref="P41:Q41"/>
    <mergeCell ref="P42:Q42"/>
    <mergeCell ref="P10:T13"/>
    <mergeCell ref="A13:E13"/>
    <mergeCell ref="C40:D40"/>
    <mergeCell ref="E40:K40"/>
    <mergeCell ref="N10:O10"/>
    <mergeCell ref="D11:E11"/>
    <mergeCell ref="N9:O9"/>
    <mergeCell ref="BW42:BX42"/>
    <mergeCell ref="BC42:BD42"/>
    <mergeCell ref="AY42:AZ42"/>
    <mergeCell ref="BA42:BB42"/>
    <mergeCell ref="AJ42:AM42"/>
    <mergeCell ref="AH15:AI15"/>
    <mergeCell ref="AF15:AG15"/>
    <mergeCell ref="AH14:AI14"/>
    <mergeCell ref="A67:B67"/>
    <mergeCell ref="Y64:Z64"/>
    <mergeCell ref="D65:F65"/>
    <mergeCell ref="M53:N53"/>
    <mergeCell ref="M54:N54"/>
    <mergeCell ref="G64:H64"/>
    <mergeCell ref="M52:N52"/>
    <mergeCell ref="U65:AD65"/>
    <mergeCell ref="L67:O67"/>
    <mergeCell ref="AA44:AB44"/>
    <mergeCell ref="L43:R43"/>
    <mergeCell ref="G43:H43"/>
    <mergeCell ref="AJ44:AK44"/>
    <mergeCell ref="U43:Z43"/>
    <mergeCell ref="O44:T44"/>
    <mergeCell ref="AL44:AM44"/>
    <mergeCell ref="U73:AD102"/>
    <mergeCell ref="BY14:BZ14"/>
    <mergeCell ref="BE13:BJ13"/>
    <mergeCell ref="BE14:BF14"/>
    <mergeCell ref="BG14:BH14"/>
    <mergeCell ref="BI14:BJ14"/>
    <mergeCell ref="BK13:BN13"/>
    <mergeCell ref="BM14:BN14"/>
    <mergeCell ref="BK14:BL14"/>
    <mergeCell ref="BA14:BB14"/>
    <mergeCell ref="BU13:BZ13"/>
    <mergeCell ref="BU14:BV14"/>
    <mergeCell ref="AN13:AX13"/>
    <mergeCell ref="AY13:BD13"/>
    <mergeCell ref="BC14:BD14"/>
    <mergeCell ref="BW14:BX14"/>
    <mergeCell ref="AY14:AZ14"/>
    <mergeCell ref="AL15:AM15"/>
    <mergeCell ref="AE13:AI13"/>
    <mergeCell ref="AE42:AI42"/>
    <mergeCell ref="AJ14:AM14"/>
    <mergeCell ref="AJ13:AM13"/>
    <mergeCell ref="U44:V44"/>
    <mergeCell ref="W44:X44"/>
    <mergeCell ref="D73:H73"/>
    <mergeCell ref="H71:K71"/>
    <mergeCell ref="L71:P71"/>
    <mergeCell ref="J73:S73"/>
    <mergeCell ref="J75:M75"/>
    <mergeCell ref="N74:T74"/>
    <mergeCell ref="M51:N51"/>
    <mergeCell ref="Y67:Z67"/>
    <mergeCell ref="Y66:Z66"/>
    <mergeCell ref="H68:K68"/>
    <mergeCell ref="D70:E70"/>
    <mergeCell ref="Y68:Z68"/>
    <mergeCell ref="D66:G66"/>
    <mergeCell ref="D67:G67"/>
    <mergeCell ref="D68:G68"/>
    <mergeCell ref="D69:G69"/>
    <mergeCell ref="Q70:T70"/>
    <mergeCell ref="H67:I67"/>
    <mergeCell ref="L69:P69"/>
    <mergeCell ref="L65:P65"/>
    <mergeCell ref="Q65:T65"/>
    <mergeCell ref="M62:N62"/>
    <mergeCell ref="L70:O70"/>
    <mergeCell ref="L66:O66"/>
    <mergeCell ref="J79:K79"/>
    <mergeCell ref="Q79:S79"/>
    <mergeCell ref="C85:D85"/>
    <mergeCell ref="C89:D89"/>
    <mergeCell ref="A68:B68"/>
    <mergeCell ref="BY42:BZ42"/>
    <mergeCell ref="BE42:BF42"/>
    <mergeCell ref="BG42:BH42"/>
    <mergeCell ref="BI42:BJ42"/>
    <mergeCell ref="BK42:BL42"/>
    <mergeCell ref="BM42:BN42"/>
    <mergeCell ref="BO42:BP42"/>
    <mergeCell ref="BS42:BT42"/>
    <mergeCell ref="BU42:BV42"/>
    <mergeCell ref="Y44:Z44"/>
    <mergeCell ref="J76:K76"/>
    <mergeCell ref="H69:K69"/>
    <mergeCell ref="C77:D77"/>
    <mergeCell ref="C76:D76"/>
    <mergeCell ref="E77:F77"/>
    <mergeCell ref="L72:O72"/>
    <mergeCell ref="L68:O68"/>
    <mergeCell ref="AC44:AD44"/>
    <mergeCell ref="V70:AC70"/>
    <mergeCell ref="M100:N100"/>
    <mergeCell ref="E89:F89"/>
    <mergeCell ref="B73:C73"/>
    <mergeCell ref="A69:B69"/>
    <mergeCell ref="A70:B70"/>
    <mergeCell ref="B81:O81"/>
    <mergeCell ref="H70:K70"/>
    <mergeCell ref="J77:K77"/>
    <mergeCell ref="Q71:T71"/>
    <mergeCell ref="Q72:T72"/>
    <mergeCell ref="H96:I96"/>
    <mergeCell ref="A82:C82"/>
    <mergeCell ref="H83:I83"/>
    <mergeCell ref="Q80:S80"/>
    <mergeCell ref="C84:D84"/>
    <mergeCell ref="A72:B72"/>
    <mergeCell ref="A75:G75"/>
    <mergeCell ref="H75:I75"/>
    <mergeCell ref="A71:B71"/>
    <mergeCell ref="H79:I79"/>
    <mergeCell ref="E87:F87"/>
    <mergeCell ref="H87:I87"/>
    <mergeCell ref="E79:F79"/>
    <mergeCell ref="E80:F80"/>
    <mergeCell ref="B107:C107"/>
    <mergeCell ref="E107:F107"/>
    <mergeCell ref="G107:H107"/>
    <mergeCell ref="I107:J107"/>
    <mergeCell ref="K107:L107"/>
    <mergeCell ref="M107:N107"/>
    <mergeCell ref="P40:Q40"/>
    <mergeCell ref="D72:F72"/>
    <mergeCell ref="H72:J72"/>
    <mergeCell ref="A65:C65"/>
    <mergeCell ref="A66:C66"/>
    <mergeCell ref="H65:J65"/>
    <mergeCell ref="M60:N60"/>
    <mergeCell ref="M61:N61"/>
    <mergeCell ref="A45:B45"/>
    <mergeCell ref="C44:G44"/>
    <mergeCell ref="M45:N45"/>
    <mergeCell ref="M46:N46"/>
    <mergeCell ref="M47:N47"/>
    <mergeCell ref="M48:N48"/>
    <mergeCell ref="M49:N49"/>
    <mergeCell ref="M50:N50"/>
    <mergeCell ref="L99:P99"/>
    <mergeCell ref="E100:F100"/>
  </mergeCells>
  <conditionalFormatting sqref="G90">
    <cfRule type="cellIs" dxfId="0" priority="3" operator="lessThan">
      <formula>IF(F8="μονοκατοικια, πολυκατοικια",0.5,1)</formula>
    </cfRule>
  </conditionalFormatting>
  <dataValidations xWindow="574" yWindow="554" count="48">
    <dataValidation type="list" allowBlank="1" showInputMessage="1" showErrorMessage="1" sqref="A69:B69">
      <formula1>$AO$2:$AO$6</formula1>
    </dataValidation>
    <dataValidation type="list" allowBlank="1" showInputMessage="1" showErrorMessage="1" sqref="A68:B68">
      <formula1>$AP$2:$AP$7</formula1>
    </dataValidation>
    <dataValidation type="list" allowBlank="1" showInputMessage="1" showErrorMessage="1" sqref="T75 S104:T104 Q104">
      <formula1>"ΟΧΙ,ΝΑΙ"</formula1>
    </dataValidation>
    <dataValidation type="list" allowBlank="1" showInputMessage="1" showErrorMessage="1" sqref="H68:K68">
      <formula1>$AR$3:$AR$4</formula1>
    </dataValidation>
    <dataValidation type="list" allowBlank="1" showInputMessage="1" showErrorMessage="1" sqref="H69:K69">
      <formula1>$AR$6:$AR$9</formula1>
    </dataValidation>
    <dataValidation type="list" allowBlank="1" showInputMessage="1" showErrorMessage="1" sqref="H70:K70">
      <formula1>$AR$11:$AR$12</formula1>
    </dataValidation>
    <dataValidation type="list" allowBlank="1" showInputMessage="1" showErrorMessage="1" sqref="L66:O66">
      <formula1>$AT$64:$AT$66</formula1>
    </dataValidation>
    <dataValidation type="list" allowBlank="1" showInputMessage="1" showErrorMessage="1" sqref="L67:O67">
      <formula1>$AT$69:$AT$70</formula1>
    </dataValidation>
    <dataValidation type="list" allowBlank="1" showInputMessage="1" showErrorMessage="1" sqref="L68:O68">
      <formula1>$AT$74:$AT$75</formula1>
    </dataValidation>
    <dataValidation type="list" allowBlank="1" showInputMessage="1" showErrorMessage="1" sqref="L69">
      <formula1>$AT$79:$AT$83</formula1>
    </dataValidation>
    <dataValidation type="list" allowBlank="1" showInputMessage="1" showErrorMessage="1" sqref="L70:O70">
      <formula1>$AT$85:$AT$88</formula1>
    </dataValidation>
    <dataValidation type="list" allowBlank="1" showInputMessage="1" showErrorMessage="1" sqref="C101:D101">
      <formula1>"ναι,όχι"</formula1>
    </dataValidation>
    <dataValidation type="list" allowBlank="1" showInputMessage="1" showErrorMessage="1" sqref="C102:D102">
      <formula1>"-,ναι,όχι"</formula1>
    </dataValidation>
    <dataValidation type="list" allowBlank="1" showInputMessage="1" showErrorMessage="1" sqref="F8:K8 B112:C114 B106:C108">
      <formula1>sys!$B$49:$B$92</formula1>
    </dataValidation>
    <dataValidation type="list" allowBlank="1" showInputMessage="1" showErrorMessage="1" sqref="B101:B102">
      <formula1>"επιλογή τύπου,Απλός,Επιλεκτικός,Κενου"</formula1>
    </dataValidation>
    <dataValidation type="list" allowBlank="1" showInputMessage="1" showErrorMessage="1" sqref="C99:D99">
      <formula1>"[υφιστάμενος],[σενάριο]"</formula1>
    </dataValidation>
    <dataValidation operator="equal" allowBlank="1" showInputMessage="1" showErrorMessage="1" sqref="K65"/>
    <dataValidation type="list" allowBlank="1" showInputMessage="1" showErrorMessage="1" sqref="T78">
      <formula1>"ΝΑΙ,ΟΧΙ"</formula1>
    </dataValidation>
    <dataValidation type="list" allowBlank="1" showInputMessage="1" showErrorMessage="1" sqref="R78">
      <formula1>"Α,Β,Γ,Δ"</formula1>
    </dataValidation>
    <dataValidation type="list" allowBlank="1" showInputMessage="1" showErrorMessage="1" sqref="J101:J102">
      <formula1>"οχι,ναι"</formula1>
    </dataValidation>
    <dataValidation type="list" allowBlank="1" showInputMessage="1" showErrorMessage="1" sqref="I101:I102">
      <formula1>"-,15,45,65"</formula1>
    </dataValidation>
    <dataValidation type="list" allowBlank="1" showInputMessage="1" showErrorMessage="1" sqref="G101:H102">
      <formula1>sys!$C$190:$C$201</formula1>
    </dataValidation>
    <dataValidation type="list" allowBlank="1" showInputMessage="1" showErrorMessage="1" sqref="E101:F102">
      <formula1>sys!$O$195:$O$197</formula1>
    </dataValidation>
    <dataValidation type="list" allowBlank="1" showInputMessage="1" showErrorMessage="1" sqref="J46:J62">
      <formula1>"ειδος Α,ειδος Β,ειδος Γ,άλλο,οχι"</formula1>
    </dataValidation>
    <dataValidation type="list" allowBlank="1" showInputMessage="1" showErrorMessage="1" sqref="M46:M62 N46:N56">
      <formula1>$DO$47:$DO$50</formula1>
    </dataValidation>
    <dataValidation type="list" allowBlank="1" showInputMessage="1" showErrorMessage="1" sqref="I13:N13">
      <formula1>$DA$1:$DA$10</formula1>
    </dataValidation>
    <dataValidation type="list" allowBlank="1" showInputMessage="1" showErrorMessage="1" sqref="H13">
      <formula1>sys!Q140:Q143</formula1>
    </dataValidation>
    <dataValidation type="list" allowBlank="1" showInputMessage="1" showErrorMessage="1" sqref="H14">
      <formula1>sys!R144:R146</formula1>
    </dataValidation>
    <dataValidation type="list" allowBlank="1" showInputMessage="1" showErrorMessage="1" sqref="E40:K42">
      <formula1>sys!C227:C233</formula1>
    </dataValidation>
    <dataValidation type="list" allowBlank="1" showInputMessage="1" showErrorMessage="1" sqref="C40:D42">
      <formula1>sys!N220:N223</formula1>
    </dataValidation>
    <dataValidation type="list" allowBlank="1" showInputMessage="1" showErrorMessage="1" sqref="N17:N36">
      <formula1>$DO$15:$DO$19</formula1>
    </dataValidation>
    <dataValidation type="list" allowBlank="1" showInputMessage="1" showErrorMessage="1" sqref="D66:G66">
      <formula1>$DN$69:$DN$78</formula1>
    </dataValidation>
    <dataValidation type="list" allowBlank="1" showInputMessage="1" showErrorMessage="1" sqref="D67:G67">
      <formula1>$DN$80:$DN$86</formula1>
    </dataValidation>
    <dataValidation type="list" allowBlank="1" showInputMessage="1" showErrorMessage="1" sqref="D68:G68">
      <formula1>$DN$88:$DN$91</formula1>
    </dataValidation>
    <dataValidation type="list" allowBlank="1" showInputMessage="1" showErrorMessage="1" sqref="D69:G69">
      <formula1>$DN$94:$DN$97</formula1>
    </dataValidation>
    <dataValidation type="decimal" allowBlank="1" showInputMessage="1" showErrorMessage="1" errorTitle="μη εγκυρη τιμη ποσοστου" error="ποσοστο σκυροδεματος απο 0(%) εως 100(%)" sqref="H17:H36">
      <formula1>0</formula1>
      <formula2>100</formula2>
    </dataValidation>
    <dataValidation type="decimal" allowBlank="1" showInputMessage="1" showErrorMessage="1" errorTitle="μη εγκυρη τιμη γωνιας κλισης" error="γωνια κλισης απο 0 εως 180 μοιρες" sqref="M17:M36">
      <formula1>0</formula1>
      <formula2>180</formula2>
    </dataValidation>
    <dataValidation type="decimal" allowBlank="1" showInputMessage="1" showErrorMessage="1" errorTitle="μη εγκυρη τιμη γωνιας αζιμουθιου" error="γωνια απο 0 εως 360" sqref="H46:H62">
      <formula1>0</formula1>
      <formula2>360</formula2>
    </dataValidation>
    <dataValidation type="decimal" allowBlank="1" showInputMessage="1" showErrorMessage="1" errorTitle="μη εγκυρη τιμη γωνιας κλισης" error="γωνιας κλισης απο 0 εως 180" sqref="I46:I62">
      <formula1>0</formula1>
      <formula2>180</formula2>
    </dataValidation>
    <dataValidation type="decimal" allowBlank="1" showInputMessage="1" showErrorMessage="1" errorTitle="μη εγκυρη τιμη γωνιας αζιμουθιου" error="γωνια απο 0 εως 360 μοιρες ή -1 για πληρης σκια (π.χ. φωταγωγος) στην περιπτωση κτιριακης μοναδας." sqref="L17:L36">
      <formula1>-1</formula1>
      <formula2>360</formula2>
    </dataValidation>
    <dataValidation allowBlank="1" showInputMessage="1" showErrorMessage="1" promptTitle="ΠΡΟΣΟΧΗ" prompt="Υπολογιζεται ο E.E.R. και αυτοματα ο S.E.E.R. απο την σχεση SEER=0,60*EER. Εαν δεν υπαρχει ενεργειακη σημανση βασει ΕΕ 626/2011 στο μεσο κλιμα, τοτε εφαρμοζονται οι υπολοιπες περιπτωσεις που αναφερονται στην σελ. 117 της ΤΟΤΕΕ και εισαγουμε την τιμη. " sqref="H85:I85"/>
    <dataValidation allowBlank="1" showInputMessage="1" showErrorMessage="1" promptTitle="ΠΡΟΣΟΧΗ" prompt="Υπολογιζεται ο C.O.P και αυτοματα ο S.C.O.P. απο την σχεση SCOP=0,93*COP. Εαν δεν υπαρχει ενεργειακη σημανση βασει ΕΕ 626/2011 στο μεσο κλιμα, τοτε εφαρμοζονται οι υπολοιπες περιπτωσεις που αναφερονται στην σελ. 111 της ΤΟΤΕΕ και εισαγουμε την τιμη. " sqref="H77:I77"/>
    <dataValidation type="list" allowBlank="1" showInputMessage="1" showErrorMessage="1" sqref="H95:I96">
      <formula1>sys!M2:M3</formula1>
    </dataValidation>
    <dataValidation type="list" allowBlank="1" showInputMessage="1" showErrorMessage="1" sqref="I14:N14">
      <formula1>IF(OR(I13=DA1,I13=DA2,I13=DA3,I13=DA4,I13=DA5),CC1:CC7,IF(I13=DA6,CH1:CH9,IF(I13=DA7,CM1:CM4,IF(I13=DA9,CR1:CR5,IF(I13=DA8,CC9:CC12,CR7:CR12)))))</formula1>
    </dataValidation>
    <dataValidation type="list" allowBlank="1" showInputMessage="1" showErrorMessage="1" sqref="K15:L15">
      <formula1>IF(OR(I13=DA9,I13=DA10),CP12,CM10:CM13)</formula1>
    </dataValidation>
    <dataValidation type="list" allowBlank="1" showInputMessage="1" showErrorMessage="1" sqref="I15:J15">
      <formula1>IF(I13=DA8,CP12,IF(I13=DA9,CP6:CP9,IF(I13=DA10,CP6:CP10,CM6:CM8)))</formula1>
    </dataValidation>
    <dataValidation type="list" errorStyle="information" allowBlank="1" showInputMessage="1" showErrorMessage="1" errorTitle="ΠΡΟΣΟΧΗ" error="Εαν επιλεξετε ΝΑΙ, αυτοματα στην τιμη του συντελεστη θερμοπερατοτητας Uτ,b του πινακα 2 θα προστεθει η τιμη 0,20 σε καθε αδιαφανη επιφανεια για τον υπολογισμο των θερμογεφυρων. " promptTitle="ΠΡΟΣΟΧΗ" prompt="Εαν επιλεξετε ΝΑΙ, αυτοματα στην τιμη του συντελεστη θερμοπερατοτητας Uτ,b του πινακα 2 θα προστεθει η τιμη 0,20 σε καθε αδιαφανη επιφανεια για τον υπολογισμο των θερμογεφυρων. " sqref="N9:O9">
      <formula1>"ΟΧΙ,ΝΑΙ"</formula1>
    </dataValidation>
    <dataValidation type="list" allowBlank="1" showInputMessage="1" showErrorMessage="1" sqref="N8:P8">
      <formula1>"κτιριακη μοναδα,ολοκληρο κτιριο"</formula1>
    </dataValidation>
  </dataValidations>
  <hyperlinks>
    <hyperlink ref="Q6:T6" r:id="rId1" display="www.gzafeirakis.gr | ©2017"/>
    <hyperlink ref="AA122:AD122" r:id="rId2" display="www.gzafeirakis.gr | ©2017"/>
    <hyperlink ref="U117:X119" r:id="rId3" display="&quot;Οποιαδήποτε διόρθωση ή αναβάθμιση του υπολογιστικού φύλλου θα δημοσιεύεται στην ιστοσελίδα μας&quot; "/>
    <hyperlink ref="U120:X120" r:id="rId4" display="Δείτε επίσης τις ΓΕΝΙΚΕΣ ΟΔΗΓΙΕΣ ΧΡΗΣΗΣ που θα βρείτε στην ιστοσελίδα."/>
  </hyperlinks>
  <pageMargins left="0.70866141732283472" right="0.70866141732283472" top="0.39370078740157483" bottom="0.39370078740157483" header="0.31496062992125984" footer="0.31496062992125984"/>
  <pageSetup paperSize="9" orientation="landscape" blackAndWhite="1" r:id="rId5"/>
  <headerFooter>
    <oddFooter>&amp;L&amp;9&amp;Z&amp;R&amp;9E.C.A. 5.00 | (c)2019 - www. gzafeirakis.gr</oddFooter>
  </headerFooter>
  <drawing r:id="rId6"/>
  <legacyDrawing r:id="rId7"/>
</worksheet>
</file>

<file path=xl/worksheets/sheet2.xml><?xml version="1.0" encoding="utf-8"?>
<worksheet xmlns="http://schemas.openxmlformats.org/spreadsheetml/2006/main" xmlns:r="http://schemas.openxmlformats.org/officeDocument/2006/relationships">
  <dimension ref="A1:Z32"/>
  <sheetViews>
    <sheetView workbookViewId="0">
      <selection activeCell="B4" sqref="B4"/>
    </sheetView>
  </sheetViews>
  <sheetFormatPr defaultRowHeight="14.4"/>
  <cols>
    <col min="1" max="1" width="2.88671875" style="389" customWidth="1"/>
    <col min="2" max="2" width="13.6640625" style="389" customWidth="1"/>
    <col min="3" max="3" width="26.5546875" style="389" customWidth="1"/>
    <col min="4" max="4" width="8.21875" style="389" customWidth="1"/>
    <col min="5" max="5" width="8" style="389" customWidth="1"/>
    <col min="6" max="7" width="8.88671875" style="389"/>
    <col min="8" max="9" width="7" style="389" customWidth="1"/>
    <col min="10" max="15" width="8.88671875" style="389"/>
    <col min="16" max="16" width="1.21875" style="389" customWidth="1"/>
    <col min="17" max="17" width="34.77734375" style="389" customWidth="1"/>
    <col min="18" max="18" width="23.33203125" style="389" customWidth="1"/>
    <col min="19" max="16384" width="8.88671875" style="389"/>
  </cols>
  <sheetData>
    <row r="1" spans="1:26" ht="18.600000000000001" customHeight="1">
      <c r="B1" s="921" t="s">
        <v>842</v>
      </c>
      <c r="C1" s="921"/>
      <c r="D1" s="921"/>
      <c r="E1" s="921"/>
      <c r="F1" s="921"/>
      <c r="G1" s="921"/>
      <c r="H1" s="921"/>
      <c r="I1" s="921"/>
      <c r="J1" s="921"/>
      <c r="K1" s="921"/>
      <c r="L1" s="921"/>
      <c r="M1" s="921"/>
      <c r="N1" s="921"/>
      <c r="O1" s="921"/>
    </row>
    <row r="2" spans="1:26" ht="14.4" customHeight="1">
      <c r="Q2" s="482" t="s">
        <v>685</v>
      </c>
      <c r="R2" s="482" t="s">
        <v>839</v>
      </c>
      <c r="S2" s="484"/>
    </row>
    <row r="3" spans="1:26" ht="28.8" customHeight="1">
      <c r="A3" s="486"/>
      <c r="B3" s="390" t="s">
        <v>675</v>
      </c>
      <c r="C3" s="403" t="s">
        <v>4</v>
      </c>
      <c r="D3" s="390" t="s">
        <v>723</v>
      </c>
      <c r="E3" s="390" t="s">
        <v>724</v>
      </c>
      <c r="F3" s="390" t="s">
        <v>725</v>
      </c>
      <c r="G3" s="390" t="s">
        <v>426</v>
      </c>
      <c r="H3" s="392" t="s">
        <v>681</v>
      </c>
      <c r="I3" s="392" t="s">
        <v>680</v>
      </c>
      <c r="J3" s="390" t="s">
        <v>752</v>
      </c>
      <c r="K3" s="390" t="s">
        <v>753</v>
      </c>
      <c r="L3" s="390" t="s">
        <v>754</v>
      </c>
      <c r="M3" s="390" t="s">
        <v>755</v>
      </c>
      <c r="N3" s="390" t="s">
        <v>756</v>
      </c>
      <c r="O3" s="390" t="s">
        <v>757</v>
      </c>
      <c r="Q3" s="483" t="s">
        <v>686</v>
      </c>
      <c r="R3" s="483" t="s">
        <v>686</v>
      </c>
      <c r="S3" s="484"/>
    </row>
    <row r="4" spans="1:26">
      <c r="A4" s="487">
        <v>1</v>
      </c>
      <c r="B4" s="416" t="str">
        <f>IF(ΥΠΟΛΟΓΙΣΜΟΙ!B17=0," ",ΥΠΟΛΟΓΙΣΜΟΙ!N17)</f>
        <v xml:space="preserve"> </v>
      </c>
      <c r="C4" s="415" t="str">
        <f>IF(ΥΠΟΛΟΓΙΣΜΟΙ!B17=0," ",ΥΠΟΛΟΓΙΣΜΟΙ!B17)</f>
        <v xml:space="preserve"> </v>
      </c>
      <c r="D4" s="417" t="str">
        <f>IF(ΥΠΟΛΟΓΙΣΜΟΙ!L17&gt;0,ΥΠΟΛΟΓΙΣΜΟΙ!L17,"")</f>
        <v/>
      </c>
      <c r="E4" s="417" t="str">
        <f>IF(ΥΠΟΛΟΓΙΣΜΟΙ!B17=0,"",ΥΠΟΛΟΓΙΣΜΟΙ!M17)</f>
        <v/>
      </c>
      <c r="F4" s="418" t="str">
        <f>IF(ΥΠΟΛΟΓΙΣΜΟΙ!B17=0," ",ΥΠΟΛΟΓΙΣΜΟΙ!G17)</f>
        <v xml:space="preserve"> </v>
      </c>
      <c r="G4" s="419" t="str">
        <f>IF(ΥΠΟΛΟΓΙΣΜΟΙ!B17=0," ",ΥΠΟΛΟΓΙΣΜΟΙ!K17)</f>
        <v xml:space="preserve"> </v>
      </c>
      <c r="H4" s="419" t="str">
        <f>IFERROR(IF(J4*K4*L4*M4*N4*O4&gt;0,INDEX(sys!$J$245:$J$262,MATCH(ΑΔΙΑΦΑΝΕΙΣ!Q4,sys!$C$245:$C$262,0)),""),"")</f>
        <v/>
      </c>
      <c r="I4" s="418" t="str">
        <f>IFERROR(IF(J4*K4*L4*M4*N4*O4&gt;0,INDEX(sys!$R$247:$R$251,MATCH(R4,sys!$N$247:$N$251,0)),""),"")</f>
        <v/>
      </c>
      <c r="J4" s="419" t="str">
        <f>IF(ΥΠΟΛΟΓΙΣΜΟΙ!B17=0," ",ΥΠΟΛΟΓΙΣΜΟΙ!O17)</f>
        <v xml:space="preserve"> </v>
      </c>
      <c r="K4" s="419" t="str">
        <f>IF(ΥΠΟΛΟΓΙΣΜΟΙ!B17=0," ",ΥΠΟΛΟΓΙΣΜΟΙ!P17)</f>
        <v xml:space="preserve"> </v>
      </c>
      <c r="L4" s="419" t="str">
        <f>IF(ΥΠΟΛΟΓΙΣΜΟΙ!B17=0," ",ΥΠΟΛΟΓΙΣΜΟΙ!Q17)</f>
        <v xml:space="preserve"> </v>
      </c>
      <c r="M4" s="419" t="str">
        <f>IF(ΥΠΟΛΟΓΙΣΜΟΙ!B17=0," ",ΥΠΟΛΟΓΙΣΜΟΙ!R17)</f>
        <v xml:space="preserve"> </v>
      </c>
      <c r="N4" s="419" t="str">
        <f>IF(ΥΠΟΛΟΓΙΣΜΟΙ!B17=0," ",ΥΠΟΛΟΓΙΣΜΟΙ!S17)</f>
        <v xml:space="preserve"> </v>
      </c>
      <c r="O4" s="419" t="str">
        <f>IF(ΥΠΟΛΟΓΙΣΜΟΙ!B17=0," ",ΥΠΟΛΟΓΙΣΜΟΙ!T17)</f>
        <v xml:space="preserve"> </v>
      </c>
      <c r="P4" s="388"/>
      <c r="Q4" s="481" t="s">
        <v>688</v>
      </c>
      <c r="R4" s="485" t="s">
        <v>705</v>
      </c>
      <c r="S4" s="484"/>
      <c r="V4" s="393"/>
      <c r="W4" s="393"/>
      <c r="X4" s="393"/>
      <c r="Y4" s="393"/>
      <c r="Z4" s="393"/>
    </row>
    <row r="5" spans="1:26">
      <c r="A5" s="487">
        <v>2</v>
      </c>
      <c r="B5" s="416" t="str">
        <f>IF(ΥΠΟΛΟΓΙΣΜΟΙ!B18=0," ",ΥΠΟΛΟΓΙΣΜΟΙ!N18)</f>
        <v xml:space="preserve"> </v>
      </c>
      <c r="C5" s="415" t="str">
        <f>IF(ΥΠΟΛΟΓΙΣΜΟΙ!B18=0," ",ΥΠΟΛΟΓΙΣΜΟΙ!B18)</f>
        <v xml:space="preserve"> </v>
      </c>
      <c r="D5" s="417" t="str">
        <f>IF(ΥΠΟΛΟΓΙΣΜΟΙ!L18&gt;0,ΥΠΟΛΟΓΙΣΜΟΙ!L18,"")</f>
        <v/>
      </c>
      <c r="E5" s="417" t="str">
        <f>IF(ΥΠΟΛΟΓΙΣΜΟΙ!B18=0,"",ΥΠΟΛΟΓΙΣΜΟΙ!M18)</f>
        <v/>
      </c>
      <c r="F5" s="418" t="str">
        <f>IF(ΥΠΟΛΟΓΙΣΜΟΙ!B18=0," ",ΥΠΟΛΟΓΙΣΜΟΙ!G18)</f>
        <v xml:space="preserve"> </v>
      </c>
      <c r="G5" s="419" t="str">
        <f>IF(ΥΠΟΛΟΓΙΣΜΟΙ!B18=0," ",ΥΠΟΛΟΓΙΣΜΟΙ!K18)</f>
        <v xml:space="preserve"> </v>
      </c>
      <c r="H5" s="419" t="str">
        <f>IFERROR(IF(J5*K5*L5*M5*N5*O5&gt;0,INDEX(sys!$J$245:$J$262,MATCH(ΑΔΙΑΦΑΝΕΙΣ!Q5,sys!$C$245:$C$262,0)),""),"")</f>
        <v/>
      </c>
      <c r="I5" s="418" t="str">
        <f>IFERROR(IF(J5*K5*L5*M5*N5*O5&gt;0,INDEX(sys!$R$247:$R$251,MATCH(R5,sys!$N$247:$N$251,0)),""),"")</f>
        <v/>
      </c>
      <c r="J5" s="419" t="str">
        <f>IF(ΥΠΟΛΟΓΙΣΜΟΙ!B18=0," ",ΥΠΟΛΟΓΙΣΜΟΙ!O18)</f>
        <v xml:space="preserve"> </v>
      </c>
      <c r="K5" s="419" t="str">
        <f>IF(ΥΠΟΛΟΓΙΣΜΟΙ!B18=0," ",ΥΠΟΛΟΓΙΣΜΟΙ!P18)</f>
        <v xml:space="preserve"> </v>
      </c>
      <c r="L5" s="419" t="str">
        <f>IF(ΥΠΟΛΟΓΙΣΜΟΙ!B18=0," ",ΥΠΟΛΟΓΙΣΜΟΙ!Q18)</f>
        <v xml:space="preserve"> </v>
      </c>
      <c r="M5" s="419" t="str">
        <f>IF(ΥΠΟΛΟΓΙΣΜΟΙ!B18=0," ",ΥΠΟΛΟΓΙΣΜΟΙ!R18)</f>
        <v xml:space="preserve"> </v>
      </c>
      <c r="N5" s="419" t="str">
        <f>IF(ΥΠΟΛΟΓΙΣΜΟΙ!B18=0," ",ΥΠΟΛΟΓΙΣΜΟΙ!S18)</f>
        <v xml:space="preserve"> </v>
      </c>
      <c r="O5" s="419" t="str">
        <f>IF(ΥΠΟΛΟΓΙΣΜΟΙ!B18=0," ",ΥΠΟΛΟΓΙΣΜΟΙ!T18)</f>
        <v xml:space="preserve"> </v>
      </c>
      <c r="P5" s="388"/>
      <c r="Q5" s="481" t="s">
        <v>688</v>
      </c>
      <c r="R5" s="485" t="s">
        <v>705</v>
      </c>
      <c r="S5" s="484"/>
      <c r="V5" s="394"/>
      <c r="W5" s="394"/>
      <c r="X5" s="394"/>
      <c r="Y5" s="394"/>
      <c r="Z5" s="394"/>
    </row>
    <row r="6" spans="1:26">
      <c r="A6" s="487">
        <v>3</v>
      </c>
      <c r="B6" s="416" t="str">
        <f>IF(ΥΠΟΛΟΓΙΣΜΟΙ!B19=0," ",ΥΠΟΛΟΓΙΣΜΟΙ!N19)</f>
        <v xml:space="preserve"> </v>
      </c>
      <c r="C6" s="415" t="str">
        <f>IF(ΥΠΟΛΟΓΙΣΜΟΙ!B19=0," ",ΥΠΟΛΟΓΙΣΜΟΙ!B19)</f>
        <v xml:space="preserve"> </v>
      </c>
      <c r="D6" s="417" t="str">
        <f>IF(ΥΠΟΛΟΓΙΣΜΟΙ!L19&gt;0,ΥΠΟΛΟΓΙΣΜΟΙ!L19,"")</f>
        <v/>
      </c>
      <c r="E6" s="417" t="str">
        <f>IF(ΥΠΟΛΟΓΙΣΜΟΙ!B19=0,"",ΥΠΟΛΟΓΙΣΜΟΙ!M19)</f>
        <v/>
      </c>
      <c r="F6" s="418" t="str">
        <f>IF(ΥΠΟΛΟΓΙΣΜΟΙ!B19=0," ",ΥΠΟΛΟΓΙΣΜΟΙ!G19)</f>
        <v xml:space="preserve"> </v>
      </c>
      <c r="G6" s="419" t="str">
        <f>IF(ΥΠΟΛΟΓΙΣΜΟΙ!B19=0," ",ΥΠΟΛΟΓΙΣΜΟΙ!K19)</f>
        <v xml:space="preserve"> </v>
      </c>
      <c r="H6" s="419" t="str">
        <f>IFERROR(IF(J6*K6*L6*M6*N6*O6&gt;0,INDEX(sys!$J$245:$J$262,MATCH(ΑΔΙΑΦΑΝΕΙΣ!Q6,sys!$C$245:$C$262,0)),""),"")</f>
        <v/>
      </c>
      <c r="I6" s="418" t="str">
        <f>IFERROR(IF(J6*K6*L6*M6*N6*O6&gt;0,INDEX(sys!$R$247:$R$251,MATCH(R6,sys!$N$247:$N$251,0)),""),"")</f>
        <v/>
      </c>
      <c r="J6" s="419" t="str">
        <f>IF(ΥΠΟΛΟΓΙΣΜΟΙ!B19=0," ",ΥΠΟΛΟΓΙΣΜΟΙ!O19)</f>
        <v xml:space="preserve"> </v>
      </c>
      <c r="K6" s="419" t="str">
        <f>IF(ΥΠΟΛΟΓΙΣΜΟΙ!B19=0," ",ΥΠΟΛΟΓΙΣΜΟΙ!P19)</f>
        <v xml:space="preserve"> </v>
      </c>
      <c r="L6" s="419" t="str">
        <f>IF(ΥΠΟΛΟΓΙΣΜΟΙ!B19=0," ",ΥΠΟΛΟΓΙΣΜΟΙ!Q19)</f>
        <v xml:space="preserve"> </v>
      </c>
      <c r="M6" s="419" t="str">
        <f>IF(ΥΠΟΛΟΓΙΣΜΟΙ!B19=0," ",ΥΠΟΛΟΓΙΣΜΟΙ!R19)</f>
        <v xml:space="preserve"> </v>
      </c>
      <c r="N6" s="419" t="str">
        <f>IF(ΥΠΟΛΟΓΙΣΜΟΙ!B19=0," ",ΥΠΟΛΟΓΙΣΜΟΙ!S19)</f>
        <v xml:space="preserve"> </v>
      </c>
      <c r="O6" s="419" t="str">
        <f>IF(ΥΠΟΛΟΓΙΣΜΟΙ!B19=0," ",ΥΠΟΛΟΓΙΣΜΟΙ!T19)</f>
        <v xml:space="preserve"> </v>
      </c>
      <c r="P6" s="388"/>
      <c r="Q6" s="481" t="s">
        <v>688</v>
      </c>
      <c r="R6" s="485" t="s">
        <v>705</v>
      </c>
      <c r="S6" s="484"/>
      <c r="V6" s="394"/>
      <c r="W6" s="394"/>
      <c r="X6" s="394"/>
      <c r="Y6" s="394"/>
      <c r="Z6" s="394"/>
    </row>
    <row r="7" spans="1:26">
      <c r="A7" s="487">
        <v>4</v>
      </c>
      <c r="B7" s="416" t="str">
        <f>IF(ΥΠΟΛΟΓΙΣΜΟΙ!B20=0," ",ΥΠΟΛΟΓΙΣΜΟΙ!N20)</f>
        <v xml:space="preserve"> </v>
      </c>
      <c r="C7" s="415" t="str">
        <f>IF(ΥΠΟΛΟΓΙΣΜΟΙ!B20=0," ",ΥΠΟΛΟΓΙΣΜΟΙ!B20)</f>
        <v xml:space="preserve"> </v>
      </c>
      <c r="D7" s="417" t="str">
        <f>IF(ΥΠΟΛΟΓΙΣΜΟΙ!L20&gt;0,ΥΠΟΛΟΓΙΣΜΟΙ!L20,"")</f>
        <v/>
      </c>
      <c r="E7" s="417" t="str">
        <f>IF(ΥΠΟΛΟΓΙΣΜΟΙ!B20=0,"",ΥΠΟΛΟΓΙΣΜΟΙ!M20)</f>
        <v/>
      </c>
      <c r="F7" s="418" t="str">
        <f>IF(ΥΠΟΛΟΓΙΣΜΟΙ!B20=0," ",ΥΠΟΛΟΓΙΣΜΟΙ!G20)</f>
        <v xml:space="preserve"> </v>
      </c>
      <c r="G7" s="419" t="str">
        <f>IF(ΥΠΟΛΟΓΙΣΜΟΙ!B20=0," ",ΥΠΟΛΟΓΙΣΜΟΙ!K20)</f>
        <v xml:space="preserve"> </v>
      </c>
      <c r="H7" s="419" t="str">
        <f>IFERROR(IF(J7*K7*L7*M7*N7*O7&gt;0,INDEX(sys!$J$245:$J$262,MATCH(ΑΔΙΑΦΑΝΕΙΣ!Q7,sys!$C$245:$C$262,0)),""),"")</f>
        <v/>
      </c>
      <c r="I7" s="418" t="str">
        <f>IFERROR(IF(J7*K7*L7*M7*N7*O7&gt;0,INDEX(sys!$R$247:$R$251,MATCH(R7,sys!$N$247:$N$251,0)),""),"")</f>
        <v/>
      </c>
      <c r="J7" s="419" t="str">
        <f>IF(ΥΠΟΛΟΓΙΣΜΟΙ!B20=0," ",ΥΠΟΛΟΓΙΣΜΟΙ!O20)</f>
        <v xml:space="preserve"> </v>
      </c>
      <c r="K7" s="419" t="str">
        <f>IF(ΥΠΟΛΟΓΙΣΜΟΙ!B20=0," ",ΥΠΟΛΟΓΙΣΜΟΙ!P20)</f>
        <v xml:space="preserve"> </v>
      </c>
      <c r="L7" s="419" t="str">
        <f>IF(ΥΠΟΛΟΓΙΣΜΟΙ!B20=0," ",ΥΠΟΛΟΓΙΣΜΟΙ!Q20)</f>
        <v xml:space="preserve"> </v>
      </c>
      <c r="M7" s="419" t="str">
        <f>IF(ΥΠΟΛΟΓΙΣΜΟΙ!B20=0," ",ΥΠΟΛΟΓΙΣΜΟΙ!R20)</f>
        <v xml:space="preserve"> </v>
      </c>
      <c r="N7" s="419" t="str">
        <f>IF(ΥΠΟΛΟΓΙΣΜΟΙ!B20=0," ",ΥΠΟΛΟΓΙΣΜΟΙ!S20)</f>
        <v xml:space="preserve"> </v>
      </c>
      <c r="O7" s="419" t="str">
        <f>IF(ΥΠΟΛΟΓΙΣΜΟΙ!B20=0," ",ΥΠΟΛΟΓΙΣΜΟΙ!T20)</f>
        <v xml:space="preserve"> </v>
      </c>
      <c r="P7" s="388"/>
      <c r="Q7" s="481" t="s">
        <v>688</v>
      </c>
      <c r="R7" s="485" t="s">
        <v>705</v>
      </c>
      <c r="S7" s="484"/>
      <c r="V7" s="394"/>
      <c r="W7" s="394"/>
      <c r="X7" s="394"/>
      <c r="Y7" s="394"/>
      <c r="Z7" s="394"/>
    </row>
    <row r="8" spans="1:26">
      <c r="A8" s="487">
        <v>5</v>
      </c>
      <c r="B8" s="416" t="str">
        <f>IF(ΥΠΟΛΟΓΙΣΜΟΙ!B21=0," ",ΥΠΟΛΟΓΙΣΜΟΙ!N21)</f>
        <v xml:space="preserve"> </v>
      </c>
      <c r="C8" s="415" t="str">
        <f>IF(ΥΠΟΛΟΓΙΣΜΟΙ!B21=0," ",ΥΠΟΛΟΓΙΣΜΟΙ!B21)</f>
        <v xml:space="preserve"> </v>
      </c>
      <c r="D8" s="417" t="str">
        <f>IF(ΥΠΟΛΟΓΙΣΜΟΙ!L21&gt;0,ΥΠΟΛΟΓΙΣΜΟΙ!L21,"")</f>
        <v/>
      </c>
      <c r="E8" s="417" t="str">
        <f>IF(ΥΠΟΛΟΓΙΣΜΟΙ!B21=0,"",ΥΠΟΛΟΓΙΣΜΟΙ!M21)</f>
        <v/>
      </c>
      <c r="F8" s="418" t="str">
        <f>IF(ΥΠΟΛΟΓΙΣΜΟΙ!B21=0," ",ΥΠΟΛΟΓΙΣΜΟΙ!G21)</f>
        <v xml:space="preserve"> </v>
      </c>
      <c r="G8" s="419" t="str">
        <f>IF(ΥΠΟΛΟΓΙΣΜΟΙ!B21=0," ",ΥΠΟΛΟΓΙΣΜΟΙ!K21)</f>
        <v xml:space="preserve"> </v>
      </c>
      <c r="H8" s="419" t="str">
        <f>IFERROR(IF(J8*K8*L8*M8*N8*O8&gt;0,INDEX(sys!$J$245:$J$262,MATCH(ΑΔΙΑΦΑΝΕΙΣ!Q8,sys!$C$245:$C$262,0)),""),"")</f>
        <v/>
      </c>
      <c r="I8" s="418" t="str">
        <f>IFERROR(IF(J8*K8*L8*M8*N8*O8&gt;0,INDEX(sys!$R$247:$R$251,MATCH(R8,sys!$N$247:$N$251,0)),""),"")</f>
        <v/>
      </c>
      <c r="J8" s="419" t="str">
        <f>IF(ΥΠΟΛΟΓΙΣΜΟΙ!B21=0," ",ΥΠΟΛΟΓΙΣΜΟΙ!O21)</f>
        <v xml:space="preserve"> </v>
      </c>
      <c r="K8" s="419" t="str">
        <f>IF(ΥΠΟΛΟΓΙΣΜΟΙ!B21=0," ",ΥΠΟΛΟΓΙΣΜΟΙ!P21)</f>
        <v xml:space="preserve"> </v>
      </c>
      <c r="L8" s="419" t="str">
        <f>IF(ΥΠΟΛΟΓΙΣΜΟΙ!B21=0," ",ΥΠΟΛΟΓΙΣΜΟΙ!Q21)</f>
        <v xml:space="preserve"> </v>
      </c>
      <c r="M8" s="419" t="str">
        <f>IF(ΥΠΟΛΟΓΙΣΜΟΙ!B21=0," ",ΥΠΟΛΟΓΙΣΜΟΙ!R21)</f>
        <v xml:space="preserve"> </v>
      </c>
      <c r="N8" s="419" t="str">
        <f>IF(ΥΠΟΛΟΓΙΣΜΟΙ!B21=0," ",ΥΠΟΛΟΓΙΣΜΟΙ!S21)</f>
        <v xml:space="preserve"> </v>
      </c>
      <c r="O8" s="419" t="str">
        <f>IF(ΥΠΟΛΟΓΙΣΜΟΙ!B21=0," ",ΥΠΟΛΟΓΙΣΜΟΙ!T21)</f>
        <v xml:space="preserve"> </v>
      </c>
      <c r="P8" s="388"/>
      <c r="Q8" s="481" t="s">
        <v>688</v>
      </c>
      <c r="R8" s="485" t="s">
        <v>705</v>
      </c>
      <c r="S8" s="484"/>
      <c r="V8" s="394"/>
      <c r="W8" s="394"/>
      <c r="X8" s="394"/>
      <c r="Y8" s="394"/>
      <c r="Z8" s="394"/>
    </row>
    <row r="9" spans="1:26">
      <c r="A9" s="487">
        <v>6</v>
      </c>
      <c r="B9" s="416" t="str">
        <f>IF(ΥΠΟΛΟΓΙΣΜΟΙ!B22=0," ",ΥΠΟΛΟΓΙΣΜΟΙ!N22)</f>
        <v xml:space="preserve"> </v>
      </c>
      <c r="C9" s="415" t="str">
        <f>IF(ΥΠΟΛΟΓΙΣΜΟΙ!B22=0," ",ΥΠΟΛΟΓΙΣΜΟΙ!B22)</f>
        <v xml:space="preserve"> </v>
      </c>
      <c r="D9" s="417" t="str">
        <f>IF(ΥΠΟΛΟΓΙΣΜΟΙ!L22&gt;0,ΥΠΟΛΟΓΙΣΜΟΙ!L22,"")</f>
        <v/>
      </c>
      <c r="E9" s="417" t="str">
        <f>IF(ΥΠΟΛΟΓΙΣΜΟΙ!B22=0,"",ΥΠΟΛΟΓΙΣΜΟΙ!M22)</f>
        <v/>
      </c>
      <c r="F9" s="418" t="str">
        <f>IF(ΥΠΟΛΟΓΙΣΜΟΙ!B22=0," ",ΥΠΟΛΟΓΙΣΜΟΙ!G22)</f>
        <v xml:space="preserve"> </v>
      </c>
      <c r="G9" s="419" t="str">
        <f>IF(ΥΠΟΛΟΓΙΣΜΟΙ!B22=0," ",ΥΠΟΛΟΓΙΣΜΟΙ!K22)</f>
        <v xml:space="preserve"> </v>
      </c>
      <c r="H9" s="419" t="str">
        <f>IFERROR(IF(J9*K9*L9*M9*N9*O9&gt;0,INDEX(sys!$J$245:$J$262,MATCH(ΑΔΙΑΦΑΝΕΙΣ!Q9,sys!$C$245:$C$262,0)),""),"")</f>
        <v/>
      </c>
      <c r="I9" s="418" t="str">
        <f>IFERROR(IF(J9*K9*L9*M9*N9*O9&gt;0,INDEX(sys!$R$247:$R$251,MATCH(R9,sys!$N$247:$N$251,0)),""),"")</f>
        <v/>
      </c>
      <c r="J9" s="419" t="str">
        <f>IF(ΥΠΟΛΟΓΙΣΜΟΙ!B22=0," ",ΥΠΟΛΟΓΙΣΜΟΙ!O22)</f>
        <v xml:space="preserve"> </v>
      </c>
      <c r="K9" s="419" t="str">
        <f>IF(ΥΠΟΛΟΓΙΣΜΟΙ!B22=0," ",ΥΠΟΛΟΓΙΣΜΟΙ!P22)</f>
        <v xml:space="preserve"> </v>
      </c>
      <c r="L9" s="419" t="str">
        <f>IF(ΥΠΟΛΟΓΙΣΜΟΙ!B22=0," ",ΥΠΟΛΟΓΙΣΜΟΙ!Q22)</f>
        <v xml:space="preserve"> </v>
      </c>
      <c r="M9" s="419" t="str">
        <f>IF(ΥΠΟΛΟΓΙΣΜΟΙ!B22=0," ",ΥΠΟΛΟΓΙΣΜΟΙ!R22)</f>
        <v xml:space="preserve"> </v>
      </c>
      <c r="N9" s="419" t="str">
        <f>IF(ΥΠΟΛΟΓΙΣΜΟΙ!B22=0," ",ΥΠΟΛΟΓΙΣΜΟΙ!S22)</f>
        <v xml:space="preserve"> </v>
      </c>
      <c r="O9" s="419" t="str">
        <f>IF(ΥΠΟΛΟΓΙΣΜΟΙ!B22=0," ",ΥΠΟΛΟΓΙΣΜΟΙ!T22)</f>
        <v xml:space="preserve"> </v>
      </c>
      <c r="P9" s="388"/>
      <c r="Q9" s="481" t="s">
        <v>688</v>
      </c>
      <c r="R9" s="485" t="s">
        <v>705</v>
      </c>
      <c r="S9" s="484"/>
      <c r="V9" s="394"/>
      <c r="W9" s="394"/>
      <c r="X9" s="394"/>
      <c r="Y9" s="394"/>
      <c r="Z9" s="394"/>
    </row>
    <row r="10" spans="1:26">
      <c r="A10" s="487">
        <v>7</v>
      </c>
      <c r="B10" s="416" t="str">
        <f>IF(ΥΠΟΛΟΓΙΣΜΟΙ!B23=0," ",ΥΠΟΛΟΓΙΣΜΟΙ!N23)</f>
        <v xml:space="preserve"> </v>
      </c>
      <c r="C10" s="415" t="str">
        <f>IF(ΥΠΟΛΟΓΙΣΜΟΙ!B23=0," ",ΥΠΟΛΟΓΙΣΜΟΙ!B23)</f>
        <v xml:space="preserve"> </v>
      </c>
      <c r="D10" s="417" t="str">
        <f>IF(ΥΠΟΛΟΓΙΣΜΟΙ!L23&gt;0,ΥΠΟΛΟΓΙΣΜΟΙ!L23,"")</f>
        <v/>
      </c>
      <c r="E10" s="417" t="str">
        <f>IF(ΥΠΟΛΟΓΙΣΜΟΙ!B23=0,"",ΥΠΟΛΟΓΙΣΜΟΙ!M23)</f>
        <v/>
      </c>
      <c r="F10" s="418" t="str">
        <f>IF(ΥΠΟΛΟΓΙΣΜΟΙ!B23=0," ",ΥΠΟΛΟΓΙΣΜΟΙ!G23)</f>
        <v xml:space="preserve"> </v>
      </c>
      <c r="G10" s="419" t="str">
        <f>IF(ΥΠΟΛΟΓΙΣΜΟΙ!B23=0," ",ΥΠΟΛΟΓΙΣΜΟΙ!K23)</f>
        <v xml:space="preserve"> </v>
      </c>
      <c r="H10" s="419" t="str">
        <f>IFERROR(IF(J10*K10*L10*M10*N10*O10&gt;0,INDEX(sys!$J$245:$J$262,MATCH(ΑΔΙΑΦΑΝΕΙΣ!Q10,sys!$C$245:$C$262,0)),""),"")</f>
        <v/>
      </c>
      <c r="I10" s="418" t="str">
        <f>IFERROR(IF(J10*K10*L10*M10*N10*O10&gt;0,INDEX(sys!$R$247:$R$251,MATCH(R10,sys!$N$247:$N$251,0)),""),"")</f>
        <v/>
      </c>
      <c r="J10" s="419" t="str">
        <f>IF(ΥΠΟΛΟΓΙΣΜΟΙ!B23=0," ",ΥΠΟΛΟΓΙΣΜΟΙ!O23)</f>
        <v xml:space="preserve"> </v>
      </c>
      <c r="K10" s="419" t="str">
        <f>IF(ΥΠΟΛΟΓΙΣΜΟΙ!B23=0," ",ΥΠΟΛΟΓΙΣΜΟΙ!P23)</f>
        <v xml:space="preserve"> </v>
      </c>
      <c r="L10" s="419" t="str">
        <f>IF(ΥΠΟΛΟΓΙΣΜΟΙ!B23=0," ",ΥΠΟΛΟΓΙΣΜΟΙ!Q23)</f>
        <v xml:space="preserve"> </v>
      </c>
      <c r="M10" s="419" t="str">
        <f>IF(ΥΠΟΛΟΓΙΣΜΟΙ!B23=0," ",ΥΠΟΛΟΓΙΣΜΟΙ!R23)</f>
        <v xml:space="preserve"> </v>
      </c>
      <c r="N10" s="419" t="str">
        <f>IF(ΥΠΟΛΟΓΙΣΜΟΙ!B23=0," ",ΥΠΟΛΟΓΙΣΜΟΙ!S23)</f>
        <v xml:space="preserve"> </v>
      </c>
      <c r="O10" s="419" t="str">
        <f>IF(ΥΠΟΛΟΓΙΣΜΟΙ!B23=0," ",ΥΠΟΛΟΓΙΣΜΟΙ!T23)</f>
        <v xml:space="preserve"> </v>
      </c>
      <c r="P10" s="388"/>
      <c r="Q10" s="481" t="s">
        <v>688</v>
      </c>
      <c r="R10" s="485" t="s">
        <v>705</v>
      </c>
      <c r="S10" s="484"/>
      <c r="V10" s="394"/>
      <c r="W10" s="394"/>
      <c r="X10" s="394"/>
      <c r="Y10" s="394"/>
      <c r="Z10" s="394"/>
    </row>
    <row r="11" spans="1:26">
      <c r="A11" s="487">
        <v>8</v>
      </c>
      <c r="B11" s="416" t="str">
        <f>IF(ΥΠΟΛΟΓΙΣΜΟΙ!B24=0," ",ΥΠΟΛΟΓΙΣΜΟΙ!N24)</f>
        <v xml:space="preserve"> </v>
      </c>
      <c r="C11" s="415" t="str">
        <f>IF(ΥΠΟΛΟΓΙΣΜΟΙ!B24=0," ",ΥΠΟΛΟΓΙΣΜΟΙ!B24)</f>
        <v xml:space="preserve"> </v>
      </c>
      <c r="D11" s="417" t="str">
        <f>IF(ΥΠΟΛΟΓΙΣΜΟΙ!L24&gt;0,ΥΠΟΛΟΓΙΣΜΟΙ!L24,"")</f>
        <v/>
      </c>
      <c r="E11" s="417" t="str">
        <f>IF(ΥΠΟΛΟΓΙΣΜΟΙ!B24=0,"",ΥΠΟΛΟΓΙΣΜΟΙ!M24)</f>
        <v/>
      </c>
      <c r="F11" s="418" t="str">
        <f>IF(ΥΠΟΛΟΓΙΣΜΟΙ!B24=0," ",ΥΠΟΛΟΓΙΣΜΟΙ!G24)</f>
        <v xml:space="preserve"> </v>
      </c>
      <c r="G11" s="419" t="str">
        <f>IF(ΥΠΟΛΟΓΙΣΜΟΙ!B24=0," ",ΥΠΟΛΟΓΙΣΜΟΙ!K24)</f>
        <v xml:space="preserve"> </v>
      </c>
      <c r="H11" s="419" t="str">
        <f>IFERROR(IF(J11*K11*L11*M11*N11*O11&gt;0,INDEX(sys!$J$245:$J$262,MATCH(ΑΔΙΑΦΑΝΕΙΣ!Q11,sys!$C$245:$C$262,0)),""),"")</f>
        <v/>
      </c>
      <c r="I11" s="418" t="str">
        <f>IFERROR(IF(J11*K11*L11*M11*N11*O11&gt;0,INDEX(sys!$R$247:$R$251,MATCH(R11,sys!$N$247:$N$251,0)),""),"")</f>
        <v/>
      </c>
      <c r="J11" s="419" t="str">
        <f>IF(ΥΠΟΛΟΓΙΣΜΟΙ!B24=0," ",ΥΠΟΛΟΓΙΣΜΟΙ!O24)</f>
        <v xml:space="preserve"> </v>
      </c>
      <c r="K11" s="419" t="str">
        <f>IF(ΥΠΟΛΟΓΙΣΜΟΙ!B24=0," ",ΥΠΟΛΟΓΙΣΜΟΙ!P24)</f>
        <v xml:space="preserve"> </v>
      </c>
      <c r="L11" s="419" t="str">
        <f>IF(ΥΠΟΛΟΓΙΣΜΟΙ!B24=0," ",ΥΠΟΛΟΓΙΣΜΟΙ!Q24)</f>
        <v xml:space="preserve"> </v>
      </c>
      <c r="M11" s="419" t="str">
        <f>IF(ΥΠΟΛΟΓΙΣΜΟΙ!B24=0," ",ΥΠΟΛΟΓΙΣΜΟΙ!R24)</f>
        <v xml:space="preserve"> </v>
      </c>
      <c r="N11" s="419" t="str">
        <f>IF(ΥΠΟΛΟΓΙΣΜΟΙ!B24=0," ",ΥΠΟΛΟΓΙΣΜΟΙ!S24)</f>
        <v xml:space="preserve"> </v>
      </c>
      <c r="O11" s="419" t="str">
        <f>IF(ΥΠΟΛΟΓΙΣΜΟΙ!B24=0," ",ΥΠΟΛΟΓΙΣΜΟΙ!T24)</f>
        <v xml:space="preserve"> </v>
      </c>
      <c r="P11" s="388"/>
      <c r="Q11" s="481" t="s">
        <v>688</v>
      </c>
      <c r="R11" s="485" t="s">
        <v>705</v>
      </c>
      <c r="S11" s="484"/>
      <c r="V11" s="394"/>
      <c r="W11" s="394"/>
      <c r="X11" s="394"/>
      <c r="Y11" s="394"/>
      <c r="Z11" s="394"/>
    </row>
    <row r="12" spans="1:26">
      <c r="A12" s="487">
        <v>9</v>
      </c>
      <c r="B12" s="416" t="str">
        <f>IF(ΥΠΟΛΟΓΙΣΜΟΙ!B25=0," ",ΥΠΟΛΟΓΙΣΜΟΙ!N25)</f>
        <v xml:space="preserve"> </v>
      </c>
      <c r="C12" s="415" t="str">
        <f>IF(ΥΠΟΛΟΓΙΣΜΟΙ!B25=0," ",ΥΠΟΛΟΓΙΣΜΟΙ!B25)</f>
        <v xml:space="preserve"> </v>
      </c>
      <c r="D12" s="417" t="str">
        <f>IF(ΥΠΟΛΟΓΙΣΜΟΙ!L25&gt;0,ΥΠΟΛΟΓΙΣΜΟΙ!L25,"")</f>
        <v/>
      </c>
      <c r="E12" s="417" t="str">
        <f>IF(ΥΠΟΛΟΓΙΣΜΟΙ!B25=0,"",ΥΠΟΛΟΓΙΣΜΟΙ!M25)</f>
        <v/>
      </c>
      <c r="F12" s="418" t="str">
        <f>IF(ΥΠΟΛΟΓΙΣΜΟΙ!B25=0," ",ΥΠΟΛΟΓΙΣΜΟΙ!G25)</f>
        <v xml:space="preserve"> </v>
      </c>
      <c r="G12" s="419" t="str">
        <f>IF(ΥΠΟΛΟΓΙΣΜΟΙ!B25=0," ",ΥΠΟΛΟΓΙΣΜΟΙ!K25)</f>
        <v xml:space="preserve"> </v>
      </c>
      <c r="H12" s="419" t="str">
        <f>IFERROR(IF(J12*K12*L12*M12*N12*O12&gt;0,INDEX(sys!$J$245:$J$262,MATCH(ΑΔΙΑΦΑΝΕΙΣ!Q12,sys!$C$245:$C$262,0)),""),"")</f>
        <v/>
      </c>
      <c r="I12" s="418" t="str">
        <f>IFERROR(IF(J12*K12*L12*M12*N12*O12&gt;0,INDEX(sys!$R$247:$R$251,MATCH(R12,sys!$N$247:$N$251,0)),""),"")</f>
        <v/>
      </c>
      <c r="J12" s="419" t="str">
        <f>IF(ΥΠΟΛΟΓΙΣΜΟΙ!B25=0," ",ΥΠΟΛΟΓΙΣΜΟΙ!O25)</f>
        <v xml:space="preserve"> </v>
      </c>
      <c r="K12" s="419" t="str">
        <f>IF(ΥΠΟΛΟΓΙΣΜΟΙ!B25=0," ",ΥΠΟΛΟΓΙΣΜΟΙ!P25)</f>
        <v xml:space="preserve"> </v>
      </c>
      <c r="L12" s="419" t="str">
        <f>IF(ΥΠΟΛΟΓΙΣΜΟΙ!B25=0," ",ΥΠΟΛΟΓΙΣΜΟΙ!Q25)</f>
        <v xml:space="preserve"> </v>
      </c>
      <c r="M12" s="419" t="str">
        <f>IF(ΥΠΟΛΟΓΙΣΜΟΙ!B25=0," ",ΥΠΟΛΟΓΙΣΜΟΙ!R25)</f>
        <v xml:space="preserve"> </v>
      </c>
      <c r="N12" s="419" t="str">
        <f>IF(ΥΠΟΛΟΓΙΣΜΟΙ!B25=0," ",ΥΠΟΛΟΓΙΣΜΟΙ!S25)</f>
        <v xml:space="preserve"> </v>
      </c>
      <c r="O12" s="419" t="str">
        <f>IF(ΥΠΟΛΟΓΙΣΜΟΙ!B25=0," ",ΥΠΟΛΟΓΙΣΜΟΙ!T25)</f>
        <v xml:space="preserve"> </v>
      </c>
      <c r="P12" s="388"/>
      <c r="Q12" s="481" t="s">
        <v>688</v>
      </c>
      <c r="R12" s="485" t="s">
        <v>705</v>
      </c>
      <c r="S12" s="484"/>
      <c r="V12" s="394"/>
      <c r="W12" s="394"/>
      <c r="X12" s="394"/>
      <c r="Y12" s="394"/>
      <c r="Z12" s="394"/>
    </row>
    <row r="13" spans="1:26">
      <c r="A13" s="487">
        <v>10</v>
      </c>
      <c r="B13" s="416" t="str">
        <f>IF(ΥΠΟΛΟΓΙΣΜΟΙ!B26=0," ",ΥΠΟΛΟΓΙΣΜΟΙ!N26)</f>
        <v xml:space="preserve"> </v>
      </c>
      <c r="C13" s="415" t="str">
        <f>IF(ΥΠΟΛΟΓΙΣΜΟΙ!B26=0," ",ΥΠΟΛΟΓΙΣΜΟΙ!B26)</f>
        <v xml:space="preserve"> </v>
      </c>
      <c r="D13" s="417" t="str">
        <f>IF(ΥΠΟΛΟΓΙΣΜΟΙ!L26&gt;0,ΥΠΟΛΟΓΙΣΜΟΙ!L26,"")</f>
        <v/>
      </c>
      <c r="E13" s="417" t="str">
        <f>IF(ΥΠΟΛΟΓΙΣΜΟΙ!B26=0,"",ΥΠΟΛΟΓΙΣΜΟΙ!M26)</f>
        <v/>
      </c>
      <c r="F13" s="418" t="str">
        <f>IF(ΥΠΟΛΟΓΙΣΜΟΙ!B26=0," ",ΥΠΟΛΟΓΙΣΜΟΙ!G26)</f>
        <v xml:space="preserve"> </v>
      </c>
      <c r="G13" s="419" t="str">
        <f>IF(ΥΠΟΛΟΓΙΣΜΟΙ!B26=0," ",ΥΠΟΛΟΓΙΣΜΟΙ!K26)</f>
        <v xml:space="preserve"> </v>
      </c>
      <c r="H13" s="419" t="str">
        <f>IFERROR(IF(J13*K13*L13*M13*N13*O13&gt;0,INDEX(sys!$J$245:$J$262,MATCH(ΑΔΙΑΦΑΝΕΙΣ!Q13,sys!$C$245:$C$262,0)),""),"")</f>
        <v/>
      </c>
      <c r="I13" s="418" t="str">
        <f>IFERROR(IF(J13*K13*L13*M13*N13*O13&gt;0,INDEX(sys!$R$247:$R$251,MATCH(R13,sys!$N$247:$N$251,0)),""),"")</f>
        <v/>
      </c>
      <c r="J13" s="419" t="str">
        <f>IF(ΥΠΟΛΟΓΙΣΜΟΙ!B26=0," ",ΥΠΟΛΟΓΙΣΜΟΙ!O26)</f>
        <v xml:space="preserve"> </v>
      </c>
      <c r="K13" s="419" t="str">
        <f>IF(ΥΠΟΛΟΓΙΣΜΟΙ!B26=0," ",ΥΠΟΛΟΓΙΣΜΟΙ!P26)</f>
        <v xml:space="preserve"> </v>
      </c>
      <c r="L13" s="419" t="str">
        <f>IF(ΥΠΟΛΟΓΙΣΜΟΙ!B26=0," ",ΥΠΟΛΟΓΙΣΜΟΙ!Q26)</f>
        <v xml:space="preserve"> </v>
      </c>
      <c r="M13" s="419" t="str">
        <f>IF(ΥΠΟΛΟΓΙΣΜΟΙ!B26=0," ",ΥΠΟΛΟΓΙΣΜΟΙ!R26)</f>
        <v xml:space="preserve"> </v>
      </c>
      <c r="N13" s="419" t="str">
        <f>IF(ΥΠΟΛΟΓΙΣΜΟΙ!B26=0," ",ΥΠΟΛΟΓΙΣΜΟΙ!S26)</f>
        <v xml:space="preserve"> </v>
      </c>
      <c r="O13" s="419" t="str">
        <f>IF(ΥΠΟΛΟΓΙΣΜΟΙ!B26=0," ",ΥΠΟΛΟΓΙΣΜΟΙ!T26)</f>
        <v xml:space="preserve"> </v>
      </c>
      <c r="P13" s="388"/>
      <c r="Q13" s="481" t="s">
        <v>688</v>
      </c>
      <c r="R13" s="485" t="s">
        <v>705</v>
      </c>
      <c r="S13" s="484"/>
      <c r="V13" s="394"/>
      <c r="W13" s="394"/>
      <c r="X13" s="394"/>
      <c r="Y13" s="394"/>
      <c r="Z13" s="394"/>
    </row>
    <row r="14" spans="1:26">
      <c r="A14" s="487">
        <v>11</v>
      </c>
      <c r="B14" s="416" t="str">
        <f>IF(ΥΠΟΛΟΓΙΣΜΟΙ!B27=0," ",ΥΠΟΛΟΓΙΣΜΟΙ!N27)</f>
        <v xml:space="preserve"> </v>
      </c>
      <c r="C14" s="415" t="str">
        <f>IF(ΥΠΟΛΟΓΙΣΜΟΙ!B27=0," ",ΥΠΟΛΟΓΙΣΜΟΙ!B27)</f>
        <v xml:space="preserve"> </v>
      </c>
      <c r="D14" s="417" t="str">
        <f>IF(ΥΠΟΛΟΓΙΣΜΟΙ!L27&gt;0,ΥΠΟΛΟΓΙΣΜΟΙ!L27,"")</f>
        <v/>
      </c>
      <c r="E14" s="417" t="str">
        <f>IF(ΥΠΟΛΟΓΙΣΜΟΙ!B27=0,"",ΥΠΟΛΟΓΙΣΜΟΙ!M27)</f>
        <v/>
      </c>
      <c r="F14" s="418" t="str">
        <f>IF(ΥΠΟΛΟΓΙΣΜΟΙ!B27=0," ",ΥΠΟΛΟΓΙΣΜΟΙ!G27)</f>
        <v xml:space="preserve"> </v>
      </c>
      <c r="G14" s="419" t="str">
        <f>IF(ΥΠΟΛΟΓΙΣΜΟΙ!B27=0," ",ΥΠΟΛΟΓΙΣΜΟΙ!K27)</f>
        <v xml:space="preserve"> </v>
      </c>
      <c r="H14" s="419" t="str">
        <f>IFERROR(IF(J14*K14*L14*M14*N14*O14&gt;0,INDEX(sys!$J$245:$J$262,MATCH(ΑΔΙΑΦΑΝΕΙΣ!Q14,sys!$C$245:$C$262,0)),""),"")</f>
        <v/>
      </c>
      <c r="I14" s="418" t="str">
        <f>IFERROR(IF(J14*K14*L14*M14*N14*O14&gt;0,INDEX(sys!$R$247:$R$251,MATCH(R14,sys!$N$247:$N$251,0)),""),"")</f>
        <v/>
      </c>
      <c r="J14" s="419" t="str">
        <f>IF(ΥΠΟΛΟΓΙΣΜΟΙ!B27=0," ",ΥΠΟΛΟΓΙΣΜΟΙ!O27)</f>
        <v xml:space="preserve"> </v>
      </c>
      <c r="K14" s="419" t="str">
        <f>IF(ΥΠΟΛΟΓΙΣΜΟΙ!B27=0," ",ΥΠΟΛΟΓΙΣΜΟΙ!P27)</f>
        <v xml:space="preserve"> </v>
      </c>
      <c r="L14" s="419" t="str">
        <f>IF(ΥΠΟΛΟΓΙΣΜΟΙ!B27=0," ",ΥΠΟΛΟΓΙΣΜΟΙ!Q27)</f>
        <v xml:space="preserve"> </v>
      </c>
      <c r="M14" s="419" t="str">
        <f>IF(ΥΠΟΛΟΓΙΣΜΟΙ!B27=0," ",ΥΠΟΛΟΓΙΣΜΟΙ!R27)</f>
        <v xml:space="preserve"> </v>
      </c>
      <c r="N14" s="419" t="str">
        <f>IF(ΥΠΟΛΟΓΙΣΜΟΙ!B27=0," ",ΥΠΟΛΟΓΙΣΜΟΙ!S27)</f>
        <v xml:space="preserve"> </v>
      </c>
      <c r="O14" s="419" t="str">
        <f>IF(ΥΠΟΛΟΓΙΣΜΟΙ!B27=0," ",ΥΠΟΛΟΓΙΣΜΟΙ!T27)</f>
        <v xml:space="preserve"> </v>
      </c>
      <c r="P14" s="388"/>
      <c r="Q14" s="481" t="s">
        <v>688</v>
      </c>
      <c r="R14" s="485" t="s">
        <v>705</v>
      </c>
      <c r="S14" s="484"/>
      <c r="V14" s="393"/>
      <c r="W14" s="393"/>
      <c r="X14" s="393"/>
      <c r="Y14" s="393"/>
      <c r="Z14" s="393"/>
    </row>
    <row r="15" spans="1:26">
      <c r="A15" s="487">
        <v>12</v>
      </c>
      <c r="B15" s="416" t="str">
        <f>IF(ΥΠΟΛΟΓΙΣΜΟΙ!B28=0," ",ΥΠΟΛΟΓΙΣΜΟΙ!N28)</f>
        <v xml:space="preserve"> </v>
      </c>
      <c r="C15" s="415" t="str">
        <f>IF(ΥΠΟΛΟΓΙΣΜΟΙ!B28=0," ",ΥΠΟΛΟΓΙΣΜΟΙ!B28)</f>
        <v xml:space="preserve"> </v>
      </c>
      <c r="D15" s="417" t="str">
        <f>IF(ΥΠΟΛΟΓΙΣΜΟΙ!L28&gt;0,ΥΠΟΛΟΓΙΣΜΟΙ!L28,"")</f>
        <v/>
      </c>
      <c r="E15" s="417" t="str">
        <f>IF(ΥΠΟΛΟΓΙΣΜΟΙ!B28=0,"",ΥΠΟΛΟΓΙΣΜΟΙ!M28)</f>
        <v/>
      </c>
      <c r="F15" s="418" t="str">
        <f>IF(ΥΠΟΛΟΓΙΣΜΟΙ!B28=0," ",ΥΠΟΛΟΓΙΣΜΟΙ!G28)</f>
        <v xml:space="preserve"> </v>
      </c>
      <c r="G15" s="419" t="str">
        <f>IF(ΥΠΟΛΟΓΙΣΜΟΙ!B28=0," ",ΥΠΟΛΟΓΙΣΜΟΙ!K28)</f>
        <v xml:space="preserve"> </v>
      </c>
      <c r="H15" s="419" t="str">
        <f>IFERROR(IF(J15*K15*L15*M15*N15*O15&gt;0,INDEX(sys!$J$245:$J$262,MATCH(ΑΔΙΑΦΑΝΕΙΣ!Q15,sys!$C$245:$C$262,0)),""),"")</f>
        <v/>
      </c>
      <c r="I15" s="418" t="str">
        <f>IFERROR(IF(J15*K15*L15*M15*N15*O15&gt;0,INDEX(sys!$R$247:$R$251,MATCH(R15,sys!$N$247:$N$251,0)),""),"")</f>
        <v/>
      </c>
      <c r="J15" s="419" t="str">
        <f>IF(ΥΠΟΛΟΓΙΣΜΟΙ!B28=0," ",ΥΠΟΛΟΓΙΣΜΟΙ!O28)</f>
        <v xml:space="preserve"> </v>
      </c>
      <c r="K15" s="419" t="str">
        <f>IF(ΥΠΟΛΟΓΙΣΜΟΙ!B28=0," ",ΥΠΟΛΟΓΙΣΜΟΙ!P28)</f>
        <v xml:space="preserve"> </v>
      </c>
      <c r="L15" s="419" t="str">
        <f>IF(ΥΠΟΛΟΓΙΣΜΟΙ!B28=0," ",ΥΠΟΛΟΓΙΣΜΟΙ!Q28)</f>
        <v xml:space="preserve"> </v>
      </c>
      <c r="M15" s="419" t="str">
        <f>IF(ΥΠΟΛΟΓΙΣΜΟΙ!B28=0," ",ΥΠΟΛΟΓΙΣΜΟΙ!R28)</f>
        <v xml:space="preserve"> </v>
      </c>
      <c r="N15" s="419" t="str">
        <f>IF(ΥΠΟΛΟΓΙΣΜΟΙ!B28=0," ",ΥΠΟΛΟΓΙΣΜΟΙ!S28)</f>
        <v xml:space="preserve"> </v>
      </c>
      <c r="O15" s="419" t="str">
        <f>IF(ΥΠΟΛΟΓΙΣΜΟΙ!B28=0," ",ΥΠΟΛΟΓΙΣΜΟΙ!T28)</f>
        <v xml:space="preserve"> </v>
      </c>
      <c r="P15" s="388"/>
      <c r="Q15" s="481" t="s">
        <v>688</v>
      </c>
      <c r="R15" s="485" t="s">
        <v>705</v>
      </c>
      <c r="S15" s="484"/>
      <c r="V15" s="393"/>
      <c r="W15" s="393"/>
      <c r="X15" s="393"/>
      <c r="Y15" s="393"/>
      <c r="Z15" s="393"/>
    </row>
    <row r="16" spans="1:26">
      <c r="A16" s="487">
        <v>13</v>
      </c>
      <c r="B16" s="416" t="str">
        <f>IF(ΥΠΟΛΟΓΙΣΜΟΙ!B29=0," ",ΥΠΟΛΟΓΙΣΜΟΙ!N29)</f>
        <v xml:space="preserve"> </v>
      </c>
      <c r="C16" s="415" t="str">
        <f>IF(ΥΠΟΛΟΓΙΣΜΟΙ!B29=0," ",ΥΠΟΛΟΓΙΣΜΟΙ!B29)</f>
        <v xml:space="preserve"> </v>
      </c>
      <c r="D16" s="417" t="str">
        <f>IF(ΥΠΟΛΟΓΙΣΜΟΙ!L29&gt;0,ΥΠΟΛΟΓΙΣΜΟΙ!L29,"")</f>
        <v/>
      </c>
      <c r="E16" s="417" t="str">
        <f>IF(ΥΠΟΛΟΓΙΣΜΟΙ!B29=0,"",ΥΠΟΛΟΓΙΣΜΟΙ!M29)</f>
        <v/>
      </c>
      <c r="F16" s="418" t="str">
        <f>IF(ΥΠΟΛΟΓΙΣΜΟΙ!B29=0," ",ΥΠΟΛΟΓΙΣΜΟΙ!G29)</f>
        <v xml:space="preserve"> </v>
      </c>
      <c r="G16" s="419" t="str">
        <f>IF(ΥΠΟΛΟΓΙΣΜΟΙ!B29=0," ",ΥΠΟΛΟΓΙΣΜΟΙ!K29)</f>
        <v xml:space="preserve"> </v>
      </c>
      <c r="H16" s="419" t="str">
        <f>IFERROR(IF(J16*K16*L16*M16*N16*O16&gt;0,INDEX(sys!$J$245:$J$262,MATCH(ΑΔΙΑΦΑΝΕΙΣ!Q16,sys!$C$245:$C$262,0)),""),"")</f>
        <v/>
      </c>
      <c r="I16" s="418" t="str">
        <f>IFERROR(IF(J16*K16*L16*M16*N16*O16&gt;0,INDEX(sys!$R$247:$R$251,MATCH(R16,sys!$N$247:$N$251,0)),""),"")</f>
        <v/>
      </c>
      <c r="J16" s="419" t="str">
        <f>IF(ΥΠΟΛΟΓΙΣΜΟΙ!B29=0," ",ΥΠΟΛΟΓΙΣΜΟΙ!O29)</f>
        <v xml:space="preserve"> </v>
      </c>
      <c r="K16" s="419" t="str">
        <f>IF(ΥΠΟΛΟΓΙΣΜΟΙ!B29=0," ",ΥΠΟΛΟΓΙΣΜΟΙ!P29)</f>
        <v xml:space="preserve"> </v>
      </c>
      <c r="L16" s="419" t="str">
        <f>IF(ΥΠΟΛΟΓΙΣΜΟΙ!B29=0," ",ΥΠΟΛΟΓΙΣΜΟΙ!Q29)</f>
        <v xml:space="preserve"> </v>
      </c>
      <c r="M16" s="419" t="str">
        <f>IF(ΥΠΟΛΟΓΙΣΜΟΙ!B29=0," ",ΥΠΟΛΟΓΙΣΜΟΙ!R29)</f>
        <v xml:space="preserve"> </v>
      </c>
      <c r="N16" s="419" t="str">
        <f>IF(ΥΠΟΛΟΓΙΣΜΟΙ!B29=0," ",ΥΠΟΛΟΓΙΣΜΟΙ!S29)</f>
        <v xml:space="preserve"> </v>
      </c>
      <c r="O16" s="419" t="str">
        <f>IF(ΥΠΟΛΟΓΙΣΜΟΙ!B29=0," ",ΥΠΟΛΟΓΙΣΜΟΙ!T29)</f>
        <v xml:space="preserve"> </v>
      </c>
      <c r="P16" s="388"/>
      <c r="Q16" s="481" t="s">
        <v>688</v>
      </c>
      <c r="R16" s="485" t="s">
        <v>705</v>
      </c>
      <c r="S16" s="484"/>
      <c r="V16" s="393"/>
      <c r="W16" s="393"/>
      <c r="X16" s="393"/>
      <c r="Y16" s="393"/>
      <c r="Z16" s="393"/>
    </row>
    <row r="17" spans="1:26">
      <c r="A17" s="487">
        <v>14</v>
      </c>
      <c r="B17" s="416" t="str">
        <f>IF(ΥΠΟΛΟΓΙΣΜΟΙ!B30=0," ",ΥΠΟΛΟΓΙΣΜΟΙ!N30)</f>
        <v xml:space="preserve"> </v>
      </c>
      <c r="C17" s="415" t="str">
        <f>IF(ΥΠΟΛΟΓΙΣΜΟΙ!B30=0," ",ΥΠΟΛΟΓΙΣΜΟΙ!B30)</f>
        <v xml:space="preserve"> </v>
      </c>
      <c r="D17" s="417" t="str">
        <f>IF(ΥΠΟΛΟΓΙΣΜΟΙ!L30&gt;0,ΥΠΟΛΟΓΙΣΜΟΙ!L30,"")</f>
        <v/>
      </c>
      <c r="E17" s="417" t="str">
        <f>IF(ΥΠΟΛΟΓΙΣΜΟΙ!B30=0,"",ΥΠΟΛΟΓΙΣΜΟΙ!M30)</f>
        <v/>
      </c>
      <c r="F17" s="418" t="str">
        <f>IF(ΥΠΟΛΟΓΙΣΜΟΙ!B30=0," ",ΥΠΟΛΟΓΙΣΜΟΙ!G30)</f>
        <v xml:space="preserve"> </v>
      </c>
      <c r="G17" s="419" t="str">
        <f>IF(ΥΠΟΛΟΓΙΣΜΟΙ!B30=0," ",ΥΠΟΛΟΓΙΣΜΟΙ!K30)</f>
        <v xml:space="preserve"> </v>
      </c>
      <c r="H17" s="419" t="str">
        <f>IFERROR(IF(J17*K17*L17*M17*N17*O17&gt;0,INDEX(sys!$J$245:$J$262,MATCH(ΑΔΙΑΦΑΝΕΙΣ!Q17,sys!$C$245:$C$262,0)),""),"")</f>
        <v/>
      </c>
      <c r="I17" s="418" t="str">
        <f>IFERROR(IF(J17*K17*L17*M17*N17*O17&gt;0,INDEX(sys!$R$247:$R$251,MATCH(R17,sys!$N$247:$N$251,0)),""),"")</f>
        <v/>
      </c>
      <c r="J17" s="419" t="str">
        <f>IF(ΥΠΟΛΟΓΙΣΜΟΙ!B30=0," ",ΥΠΟΛΟΓΙΣΜΟΙ!O30)</f>
        <v xml:space="preserve"> </v>
      </c>
      <c r="K17" s="419" t="str">
        <f>IF(ΥΠΟΛΟΓΙΣΜΟΙ!B30=0," ",ΥΠΟΛΟΓΙΣΜΟΙ!P30)</f>
        <v xml:space="preserve"> </v>
      </c>
      <c r="L17" s="419" t="str">
        <f>IF(ΥΠΟΛΟΓΙΣΜΟΙ!B30=0," ",ΥΠΟΛΟΓΙΣΜΟΙ!Q30)</f>
        <v xml:space="preserve"> </v>
      </c>
      <c r="M17" s="419" t="str">
        <f>IF(ΥΠΟΛΟΓΙΣΜΟΙ!B30=0," ",ΥΠΟΛΟΓΙΣΜΟΙ!R30)</f>
        <v xml:space="preserve"> </v>
      </c>
      <c r="N17" s="419" t="str">
        <f>IF(ΥΠΟΛΟΓΙΣΜΟΙ!B30=0," ",ΥΠΟΛΟΓΙΣΜΟΙ!S30)</f>
        <v xml:space="preserve"> </v>
      </c>
      <c r="O17" s="419" t="str">
        <f>IF(ΥΠΟΛΟΓΙΣΜΟΙ!B30=0," ",ΥΠΟΛΟΓΙΣΜΟΙ!T30)</f>
        <v xml:space="preserve"> </v>
      </c>
      <c r="P17" s="388"/>
      <c r="Q17" s="481" t="s">
        <v>688</v>
      </c>
      <c r="R17" s="485" t="s">
        <v>705</v>
      </c>
      <c r="S17" s="484"/>
      <c r="V17" s="393"/>
      <c r="W17" s="393"/>
      <c r="X17" s="393"/>
      <c r="Y17" s="393"/>
      <c r="Z17" s="393"/>
    </row>
    <row r="18" spans="1:26">
      <c r="A18" s="487">
        <v>15</v>
      </c>
      <c r="B18" s="416" t="str">
        <f>IF(ΥΠΟΛΟΓΙΣΜΟΙ!B31=0," ",ΥΠΟΛΟΓΙΣΜΟΙ!N31)</f>
        <v xml:space="preserve"> </v>
      </c>
      <c r="C18" s="415" t="str">
        <f>IF(ΥΠΟΛΟΓΙΣΜΟΙ!B31=0," ",ΥΠΟΛΟΓΙΣΜΟΙ!B31)</f>
        <v xml:space="preserve"> </v>
      </c>
      <c r="D18" s="417" t="str">
        <f>IF(ΥΠΟΛΟΓΙΣΜΟΙ!L31&gt;0,ΥΠΟΛΟΓΙΣΜΟΙ!L31,"")</f>
        <v/>
      </c>
      <c r="E18" s="417" t="str">
        <f>IF(ΥΠΟΛΟΓΙΣΜΟΙ!B31=0,"",ΥΠΟΛΟΓΙΣΜΟΙ!M31)</f>
        <v/>
      </c>
      <c r="F18" s="418" t="str">
        <f>IF(ΥΠΟΛΟΓΙΣΜΟΙ!B31=0," ",ΥΠΟΛΟΓΙΣΜΟΙ!G31)</f>
        <v xml:space="preserve"> </v>
      </c>
      <c r="G18" s="419" t="str">
        <f>IF(ΥΠΟΛΟΓΙΣΜΟΙ!B31=0," ",ΥΠΟΛΟΓΙΣΜΟΙ!K31)</f>
        <v xml:space="preserve"> </v>
      </c>
      <c r="H18" s="419" t="str">
        <f>IFERROR(IF(J18*K18*L18*M18*N18*O18&gt;0,INDEX(sys!$J$245:$J$262,MATCH(ΑΔΙΑΦΑΝΕΙΣ!Q18,sys!$C$245:$C$262,0)),""),"")</f>
        <v/>
      </c>
      <c r="I18" s="418" t="str">
        <f>IFERROR(IF(J18*K18*L18*M18*N18*O18&gt;0,INDEX(sys!$R$247:$R$251,MATCH(R18,sys!$N$247:$N$251,0)),""),"")</f>
        <v/>
      </c>
      <c r="J18" s="419" t="str">
        <f>IF(ΥΠΟΛΟΓΙΣΜΟΙ!B31=0," ",ΥΠΟΛΟΓΙΣΜΟΙ!O31)</f>
        <v xml:space="preserve"> </v>
      </c>
      <c r="K18" s="419" t="str">
        <f>IF(ΥΠΟΛΟΓΙΣΜΟΙ!B31=0," ",ΥΠΟΛΟΓΙΣΜΟΙ!P31)</f>
        <v xml:space="preserve"> </v>
      </c>
      <c r="L18" s="419" t="str">
        <f>IF(ΥΠΟΛΟΓΙΣΜΟΙ!B31=0," ",ΥΠΟΛΟΓΙΣΜΟΙ!Q31)</f>
        <v xml:space="preserve"> </v>
      </c>
      <c r="M18" s="419" t="str">
        <f>IF(ΥΠΟΛΟΓΙΣΜΟΙ!B31=0," ",ΥΠΟΛΟΓΙΣΜΟΙ!R31)</f>
        <v xml:space="preserve"> </v>
      </c>
      <c r="N18" s="419" t="str">
        <f>IF(ΥΠΟΛΟΓΙΣΜΟΙ!B31=0," ",ΥΠΟΛΟΓΙΣΜΟΙ!S31)</f>
        <v xml:space="preserve"> </v>
      </c>
      <c r="O18" s="419" t="str">
        <f>IF(ΥΠΟΛΟΓΙΣΜΟΙ!B31=0," ",ΥΠΟΛΟΓΙΣΜΟΙ!T31)</f>
        <v xml:space="preserve"> </v>
      </c>
      <c r="P18" s="388"/>
      <c r="Q18" s="481" t="s">
        <v>688</v>
      </c>
      <c r="R18" s="485" t="s">
        <v>705</v>
      </c>
      <c r="S18" s="484"/>
      <c r="V18" s="393"/>
      <c r="W18" s="393"/>
      <c r="X18" s="393"/>
      <c r="Y18" s="393"/>
      <c r="Z18" s="393"/>
    </row>
    <row r="19" spans="1:26">
      <c r="A19" s="487">
        <v>16</v>
      </c>
      <c r="B19" s="416" t="str">
        <f>IF(ΥΠΟΛΟΓΙΣΜΟΙ!B32=0," ",ΥΠΟΛΟΓΙΣΜΟΙ!N32)</f>
        <v xml:space="preserve"> </v>
      </c>
      <c r="C19" s="415" t="str">
        <f>IF(ΥΠΟΛΟΓΙΣΜΟΙ!B32=0," ",ΥΠΟΛΟΓΙΣΜΟΙ!B32)</f>
        <v xml:space="preserve"> </v>
      </c>
      <c r="D19" s="417" t="str">
        <f>IF(ΥΠΟΛΟΓΙΣΜΟΙ!L32&gt;0,ΥΠΟΛΟΓΙΣΜΟΙ!L32,"")</f>
        <v/>
      </c>
      <c r="E19" s="417" t="str">
        <f>IF(ΥΠΟΛΟΓΙΣΜΟΙ!B32=0,"",ΥΠΟΛΟΓΙΣΜΟΙ!M32)</f>
        <v/>
      </c>
      <c r="F19" s="418" t="str">
        <f>IF(ΥΠΟΛΟΓΙΣΜΟΙ!B32=0," ",ΥΠΟΛΟΓΙΣΜΟΙ!G32)</f>
        <v xml:space="preserve"> </v>
      </c>
      <c r="G19" s="419" t="str">
        <f>IF(ΥΠΟΛΟΓΙΣΜΟΙ!B32=0," ",ΥΠΟΛΟΓΙΣΜΟΙ!K32)</f>
        <v xml:space="preserve"> </v>
      </c>
      <c r="H19" s="419" t="str">
        <f>IFERROR(IF(J19*K19*L19*M19*N19*O19&gt;0,INDEX(sys!$J$245:$J$262,MATCH(ΑΔΙΑΦΑΝΕΙΣ!Q19,sys!$C$245:$C$262,0)),""),"")</f>
        <v/>
      </c>
      <c r="I19" s="418" t="str">
        <f>IFERROR(IF(J19*K19*L19*M19*N19*O19&gt;0,INDEX(sys!$R$247:$R$251,MATCH(R19,sys!$N$247:$N$251,0)),""),"")</f>
        <v/>
      </c>
      <c r="J19" s="419" t="str">
        <f>IF(ΥΠΟΛΟΓΙΣΜΟΙ!B32=0," ",ΥΠΟΛΟΓΙΣΜΟΙ!O32)</f>
        <v xml:space="preserve"> </v>
      </c>
      <c r="K19" s="419" t="str">
        <f>IF(ΥΠΟΛΟΓΙΣΜΟΙ!B32=0," ",ΥΠΟΛΟΓΙΣΜΟΙ!P32)</f>
        <v xml:space="preserve"> </v>
      </c>
      <c r="L19" s="419" t="str">
        <f>IF(ΥΠΟΛΟΓΙΣΜΟΙ!B32=0," ",ΥΠΟΛΟΓΙΣΜΟΙ!Q32)</f>
        <v xml:space="preserve"> </v>
      </c>
      <c r="M19" s="419" t="str">
        <f>IF(ΥΠΟΛΟΓΙΣΜΟΙ!B32=0," ",ΥΠΟΛΟΓΙΣΜΟΙ!R32)</f>
        <v xml:space="preserve"> </v>
      </c>
      <c r="N19" s="419" t="str">
        <f>IF(ΥΠΟΛΟΓΙΣΜΟΙ!B32=0," ",ΥΠΟΛΟΓΙΣΜΟΙ!S32)</f>
        <v xml:space="preserve"> </v>
      </c>
      <c r="O19" s="419" t="str">
        <f>IF(ΥΠΟΛΟΓΙΣΜΟΙ!B32=0," ",ΥΠΟΛΟΓΙΣΜΟΙ!T32)</f>
        <v xml:space="preserve"> </v>
      </c>
      <c r="P19" s="388"/>
      <c r="Q19" s="481" t="s">
        <v>688</v>
      </c>
      <c r="R19" s="485" t="s">
        <v>705</v>
      </c>
      <c r="S19" s="484"/>
      <c r="V19" s="393"/>
      <c r="W19" s="393"/>
      <c r="X19" s="393"/>
      <c r="Y19" s="393"/>
      <c r="Z19" s="393"/>
    </row>
    <row r="20" spans="1:26">
      <c r="A20" s="487">
        <v>17</v>
      </c>
      <c r="B20" s="416" t="str">
        <f>IF(ΥΠΟΛΟΓΙΣΜΟΙ!B33=0," ",ΥΠΟΛΟΓΙΣΜΟΙ!N33)</f>
        <v xml:space="preserve"> </v>
      </c>
      <c r="C20" s="415" t="str">
        <f>IF(ΥΠΟΛΟΓΙΣΜΟΙ!B33=0," ",ΥΠΟΛΟΓΙΣΜΟΙ!B33)</f>
        <v xml:space="preserve"> </v>
      </c>
      <c r="D20" s="417" t="str">
        <f>IF(ΥΠΟΛΟΓΙΣΜΟΙ!L33&gt;0,ΥΠΟΛΟΓΙΣΜΟΙ!L33,"")</f>
        <v/>
      </c>
      <c r="E20" s="417" t="str">
        <f>IF(ΥΠΟΛΟΓΙΣΜΟΙ!B33=0,"",ΥΠΟΛΟΓΙΣΜΟΙ!M33)</f>
        <v/>
      </c>
      <c r="F20" s="418" t="str">
        <f>IF(ΥΠΟΛΟΓΙΣΜΟΙ!B33=0," ",ΥΠΟΛΟΓΙΣΜΟΙ!G33)</f>
        <v xml:space="preserve"> </v>
      </c>
      <c r="G20" s="419" t="str">
        <f>IF(ΥΠΟΛΟΓΙΣΜΟΙ!B33=0," ",ΥΠΟΛΟΓΙΣΜΟΙ!K33)</f>
        <v xml:space="preserve"> </v>
      </c>
      <c r="H20" s="419" t="str">
        <f>IFERROR(IF(J20*K20*L20*M20*N20*O20&gt;0,INDEX(sys!$J$245:$J$262,MATCH(ΑΔΙΑΦΑΝΕΙΣ!Q20,sys!$C$245:$C$262,0)),""),"")</f>
        <v/>
      </c>
      <c r="I20" s="418" t="str">
        <f>IFERROR(IF(J20*K20*L20*M20*N20*O20&gt;0,INDEX(sys!$R$247:$R$251,MATCH(R20,sys!$N$247:$N$251,0)),""),"")</f>
        <v/>
      </c>
      <c r="J20" s="419" t="str">
        <f>IF(ΥΠΟΛΟΓΙΣΜΟΙ!B33=0," ",ΥΠΟΛΟΓΙΣΜΟΙ!O33)</f>
        <v xml:space="preserve"> </v>
      </c>
      <c r="K20" s="419" t="str">
        <f>IF(ΥΠΟΛΟΓΙΣΜΟΙ!B33=0," ",ΥΠΟΛΟΓΙΣΜΟΙ!P33)</f>
        <v xml:space="preserve"> </v>
      </c>
      <c r="L20" s="419" t="str">
        <f>IF(ΥΠΟΛΟΓΙΣΜΟΙ!B33=0," ",ΥΠΟΛΟΓΙΣΜΟΙ!Q33)</f>
        <v xml:space="preserve"> </v>
      </c>
      <c r="M20" s="419" t="str">
        <f>IF(ΥΠΟΛΟΓΙΣΜΟΙ!B33=0," ",ΥΠΟΛΟΓΙΣΜΟΙ!R33)</f>
        <v xml:space="preserve"> </v>
      </c>
      <c r="N20" s="419" t="str">
        <f>IF(ΥΠΟΛΟΓΙΣΜΟΙ!B33=0," ",ΥΠΟΛΟΓΙΣΜΟΙ!S33)</f>
        <v xml:space="preserve"> </v>
      </c>
      <c r="O20" s="419" t="str">
        <f>IF(ΥΠΟΛΟΓΙΣΜΟΙ!B33=0," ",ΥΠΟΛΟΓΙΣΜΟΙ!T33)</f>
        <v xml:space="preserve"> </v>
      </c>
      <c r="P20" s="388"/>
      <c r="Q20" s="481" t="s">
        <v>688</v>
      </c>
      <c r="R20" s="485" t="s">
        <v>705</v>
      </c>
      <c r="S20" s="484"/>
      <c r="V20" s="393"/>
      <c r="W20" s="393"/>
      <c r="X20" s="393"/>
      <c r="Y20" s="393"/>
      <c r="Z20" s="393"/>
    </row>
    <row r="21" spans="1:26">
      <c r="A21" s="487">
        <v>18</v>
      </c>
      <c r="B21" s="416" t="str">
        <f>IF(ΥΠΟΛΟΓΙΣΜΟΙ!B34=0," ",ΥΠΟΛΟΓΙΣΜΟΙ!N34)</f>
        <v xml:space="preserve"> </v>
      </c>
      <c r="C21" s="415" t="str">
        <f>IF(ΥΠΟΛΟΓΙΣΜΟΙ!B34=0," ",ΥΠΟΛΟΓΙΣΜΟΙ!B34)</f>
        <v xml:space="preserve"> </v>
      </c>
      <c r="D21" s="417" t="str">
        <f>IF(ΥΠΟΛΟΓΙΣΜΟΙ!L34&gt;0,ΥΠΟΛΟΓΙΣΜΟΙ!L34,"")</f>
        <v/>
      </c>
      <c r="E21" s="417" t="str">
        <f>IF(ΥΠΟΛΟΓΙΣΜΟΙ!B34=0,"",ΥΠΟΛΟΓΙΣΜΟΙ!M34)</f>
        <v/>
      </c>
      <c r="F21" s="418" t="str">
        <f>IF(ΥΠΟΛΟΓΙΣΜΟΙ!B34=0," ",ΥΠΟΛΟΓΙΣΜΟΙ!G34)</f>
        <v xml:space="preserve"> </v>
      </c>
      <c r="G21" s="419" t="str">
        <f>IF(ΥΠΟΛΟΓΙΣΜΟΙ!B34=0," ",ΥΠΟΛΟΓΙΣΜΟΙ!K34)</f>
        <v xml:space="preserve"> </v>
      </c>
      <c r="H21" s="419" t="str">
        <f>IFERROR(IF(J21*K21*L21*M21*N21*O21&gt;0,INDEX(sys!$J$245:$J$262,MATCH(ΑΔΙΑΦΑΝΕΙΣ!Q21,sys!$C$245:$C$262,0)),""),"")</f>
        <v/>
      </c>
      <c r="I21" s="418" t="str">
        <f>IFERROR(IF(J21*K21*L21*M21*N21*O21&gt;0,INDEX(sys!$R$247:$R$251,MATCH(R21,sys!$N$247:$N$251,0)),""),"")</f>
        <v/>
      </c>
      <c r="J21" s="419" t="str">
        <f>IF(ΥΠΟΛΟΓΙΣΜΟΙ!B34=0," ",ΥΠΟΛΟΓΙΣΜΟΙ!O34)</f>
        <v xml:space="preserve"> </v>
      </c>
      <c r="K21" s="419" t="str">
        <f>IF(ΥΠΟΛΟΓΙΣΜΟΙ!B34=0," ",ΥΠΟΛΟΓΙΣΜΟΙ!P34)</f>
        <v xml:space="preserve"> </v>
      </c>
      <c r="L21" s="419" t="str">
        <f>IF(ΥΠΟΛΟΓΙΣΜΟΙ!B34=0," ",ΥΠΟΛΟΓΙΣΜΟΙ!Q34)</f>
        <v xml:space="preserve"> </v>
      </c>
      <c r="M21" s="419" t="str">
        <f>IF(ΥΠΟΛΟΓΙΣΜΟΙ!B34=0," ",ΥΠΟΛΟΓΙΣΜΟΙ!R34)</f>
        <v xml:space="preserve"> </v>
      </c>
      <c r="N21" s="419" t="str">
        <f>IF(ΥΠΟΛΟΓΙΣΜΟΙ!B34=0," ",ΥΠΟΛΟΓΙΣΜΟΙ!S34)</f>
        <v xml:space="preserve"> </v>
      </c>
      <c r="O21" s="419" t="str">
        <f>IF(ΥΠΟΛΟΓΙΣΜΟΙ!B34=0," ",ΥΠΟΛΟΓΙΣΜΟΙ!T34)</f>
        <v xml:space="preserve"> </v>
      </c>
      <c r="P21" s="388"/>
      <c r="Q21" s="481" t="s">
        <v>688</v>
      </c>
      <c r="R21" s="485" t="s">
        <v>705</v>
      </c>
      <c r="S21" s="484"/>
      <c r="V21" s="393"/>
      <c r="W21" s="393"/>
      <c r="X21" s="393"/>
      <c r="Y21" s="393"/>
      <c r="Z21" s="393"/>
    </row>
    <row r="22" spans="1:26">
      <c r="A22" s="487">
        <v>19</v>
      </c>
      <c r="B22" s="416" t="str">
        <f>IF(ΥΠΟΛΟΓΙΣΜΟΙ!B35=0," ",ΥΠΟΛΟΓΙΣΜΟΙ!N35)</f>
        <v xml:space="preserve"> </v>
      </c>
      <c r="C22" s="415" t="str">
        <f>IF(ΥΠΟΛΟΓΙΣΜΟΙ!B35=0," ",ΥΠΟΛΟΓΙΣΜΟΙ!B35)</f>
        <v xml:space="preserve"> </v>
      </c>
      <c r="D22" s="417" t="str">
        <f>IF(ΥΠΟΛΟΓΙΣΜΟΙ!L35&gt;0,ΥΠΟΛΟΓΙΣΜΟΙ!L35,"")</f>
        <v/>
      </c>
      <c r="E22" s="417" t="str">
        <f>IF(ΥΠΟΛΟΓΙΣΜΟΙ!B35=0,"",ΥΠΟΛΟΓΙΣΜΟΙ!M35)</f>
        <v/>
      </c>
      <c r="F22" s="418" t="str">
        <f>IF(ΥΠΟΛΟΓΙΣΜΟΙ!B35=0," ",ΥΠΟΛΟΓΙΣΜΟΙ!G35)</f>
        <v xml:space="preserve"> </v>
      </c>
      <c r="G22" s="419" t="str">
        <f>IF(ΥΠΟΛΟΓΙΣΜΟΙ!B35=0," ",ΥΠΟΛΟΓΙΣΜΟΙ!K35)</f>
        <v xml:space="preserve"> </v>
      </c>
      <c r="H22" s="419" t="str">
        <f>IFERROR(IF(J22*K22*L22*M22*N22*O22&gt;0,INDEX(sys!$J$245:$J$262,MATCH(ΑΔΙΑΦΑΝΕΙΣ!Q22,sys!$C$245:$C$262,0)),""),"")</f>
        <v/>
      </c>
      <c r="I22" s="418" t="str">
        <f>IFERROR(IF(J22*K22*L22*M22*N22*O22&gt;0,INDEX(sys!$R$247:$R$251,MATCH(R22,sys!$N$247:$N$251,0)),""),"")</f>
        <v/>
      </c>
      <c r="J22" s="419" t="str">
        <f>IF(ΥΠΟΛΟΓΙΣΜΟΙ!B35=0," ",ΥΠΟΛΟΓΙΣΜΟΙ!O35)</f>
        <v xml:space="preserve"> </v>
      </c>
      <c r="K22" s="419" t="str">
        <f>IF(ΥΠΟΛΟΓΙΣΜΟΙ!B35=0," ",ΥΠΟΛΟΓΙΣΜΟΙ!P35)</f>
        <v xml:space="preserve"> </v>
      </c>
      <c r="L22" s="419" t="str">
        <f>IF(ΥΠΟΛΟΓΙΣΜΟΙ!B35=0," ",ΥΠΟΛΟΓΙΣΜΟΙ!Q35)</f>
        <v xml:space="preserve"> </v>
      </c>
      <c r="M22" s="419" t="str">
        <f>IF(ΥΠΟΛΟΓΙΣΜΟΙ!B35=0," ",ΥΠΟΛΟΓΙΣΜΟΙ!R35)</f>
        <v xml:space="preserve"> </v>
      </c>
      <c r="N22" s="419" t="str">
        <f>IF(ΥΠΟΛΟΓΙΣΜΟΙ!B35=0," ",ΥΠΟΛΟΓΙΣΜΟΙ!S35)</f>
        <v xml:space="preserve"> </v>
      </c>
      <c r="O22" s="419" t="str">
        <f>IF(ΥΠΟΛΟΓΙΣΜΟΙ!B35=0," ",ΥΠΟΛΟΓΙΣΜΟΙ!T35)</f>
        <v xml:space="preserve"> </v>
      </c>
      <c r="P22" s="388"/>
      <c r="Q22" s="481" t="s">
        <v>688</v>
      </c>
      <c r="R22" s="485" t="s">
        <v>705</v>
      </c>
      <c r="S22" s="484"/>
      <c r="V22" s="393"/>
      <c r="W22" s="393"/>
      <c r="X22" s="393"/>
      <c r="Y22" s="393"/>
      <c r="Z22" s="393"/>
    </row>
    <row r="23" spans="1:26">
      <c r="A23" s="487">
        <v>20</v>
      </c>
      <c r="B23" s="416" t="str">
        <f>IF(ΥΠΟΛΟΓΙΣΜΟΙ!B36=0," ",ΥΠΟΛΟΓΙΣΜΟΙ!N36)</f>
        <v xml:space="preserve"> </v>
      </c>
      <c r="C23" s="415" t="str">
        <f>IF(ΥΠΟΛΟΓΙΣΜΟΙ!B36=0," ",ΥΠΟΛΟΓΙΣΜΟΙ!B36)</f>
        <v xml:space="preserve"> </v>
      </c>
      <c r="D23" s="417" t="str">
        <f>IF(ΥΠΟΛΟΓΙΣΜΟΙ!L36&gt;0,ΥΠΟΛΟΓΙΣΜΟΙ!L36,"")</f>
        <v/>
      </c>
      <c r="E23" s="417" t="str">
        <f>IF(ΥΠΟΛΟΓΙΣΜΟΙ!B36=0,"",ΥΠΟΛΟΓΙΣΜΟΙ!M36)</f>
        <v/>
      </c>
      <c r="F23" s="418" t="str">
        <f>IF(ΥΠΟΛΟΓΙΣΜΟΙ!B36=0," ",ΥΠΟΛΟΓΙΣΜΟΙ!G36)</f>
        <v xml:space="preserve"> </v>
      </c>
      <c r="G23" s="419" t="str">
        <f>IF(ΥΠΟΛΟΓΙΣΜΟΙ!B36=0," ",ΥΠΟΛΟΓΙΣΜΟΙ!K36)</f>
        <v xml:space="preserve"> </v>
      </c>
      <c r="H23" s="419" t="str">
        <f>IFERROR(IF(J23*K23*L23*M23*N23*O23&gt;0,INDEX(sys!$J$245:$J$262,MATCH(ΑΔΙΑΦΑΝΕΙΣ!Q23,sys!$C$245:$C$262,0)),""),"")</f>
        <v/>
      </c>
      <c r="I23" s="418" t="str">
        <f>IFERROR(IF(J23*K23*L23*M23*N23*O23&gt;0,INDEX(sys!$R$247:$R$251,MATCH(R23,sys!$N$247:$N$251,0)),""),"")</f>
        <v/>
      </c>
      <c r="J23" s="419" t="str">
        <f>IF(ΥΠΟΛΟΓΙΣΜΟΙ!B36=0," ",ΥΠΟΛΟΓΙΣΜΟΙ!O36)</f>
        <v xml:space="preserve"> </v>
      </c>
      <c r="K23" s="419" t="str">
        <f>IF(ΥΠΟΛΟΓΙΣΜΟΙ!B36=0," ",ΥΠΟΛΟΓΙΣΜΟΙ!P36)</f>
        <v xml:space="preserve"> </v>
      </c>
      <c r="L23" s="419" t="str">
        <f>IF(ΥΠΟΛΟΓΙΣΜΟΙ!B36=0," ",ΥΠΟΛΟΓΙΣΜΟΙ!Q36)</f>
        <v xml:space="preserve"> </v>
      </c>
      <c r="M23" s="419" t="str">
        <f>IF(ΥΠΟΛΟΓΙΣΜΟΙ!B36=0," ",ΥΠΟΛΟΓΙΣΜΟΙ!R36)</f>
        <v xml:space="preserve"> </v>
      </c>
      <c r="N23" s="419" t="str">
        <f>IF(ΥΠΟΛΟΓΙΣΜΟΙ!B36=0," ",ΥΠΟΛΟΓΙΣΜΟΙ!S36)</f>
        <v xml:space="preserve"> </v>
      </c>
      <c r="O23" s="419" t="str">
        <f>IF(ΥΠΟΛΟΓΙΣΜΟΙ!B36=0," ",ΥΠΟΛΟΓΙΣΜΟΙ!T36)</f>
        <v xml:space="preserve"> </v>
      </c>
      <c r="P23" s="388"/>
      <c r="Q23" s="481" t="s">
        <v>688</v>
      </c>
      <c r="R23" s="485" t="s">
        <v>705</v>
      </c>
      <c r="S23" s="484"/>
      <c r="V23" s="393"/>
      <c r="W23" s="393"/>
      <c r="X23" s="393"/>
      <c r="Y23" s="393"/>
      <c r="Z23" s="393"/>
    </row>
    <row r="24" spans="1:26">
      <c r="B24" s="920" t="s">
        <v>764</v>
      </c>
      <c r="C24" s="920"/>
      <c r="D24" s="920"/>
      <c r="E24" s="920"/>
      <c r="F24" s="920"/>
      <c r="G24" s="920"/>
      <c r="H24" s="920"/>
      <c r="I24" s="920"/>
      <c r="J24" s="920"/>
      <c r="K24" s="920"/>
      <c r="L24" s="920"/>
      <c r="M24" s="920"/>
      <c r="N24" s="920"/>
      <c r="O24" s="920"/>
      <c r="V24" s="394"/>
      <c r="W24" s="394"/>
      <c r="X24" s="394"/>
      <c r="Y24" s="394"/>
      <c r="Z24" s="394"/>
    </row>
    <row r="25" spans="1:26">
      <c r="V25" s="394"/>
      <c r="W25" s="394"/>
      <c r="X25" s="394"/>
      <c r="Y25" s="394"/>
      <c r="Z25" s="394"/>
    </row>
    <row r="26" spans="1:26" ht="14.4" customHeight="1">
      <c r="B26" s="923" t="s">
        <v>765</v>
      </c>
      <c r="C26" s="923"/>
      <c r="D26" s="923"/>
      <c r="E26" s="923"/>
      <c r="F26" s="923"/>
      <c r="G26" s="923"/>
      <c r="H26" s="923"/>
      <c r="I26" s="923"/>
    </row>
    <row r="27" spans="1:26">
      <c r="B27" s="923"/>
      <c r="C27" s="923"/>
      <c r="D27" s="923"/>
      <c r="E27" s="923"/>
      <c r="F27" s="923"/>
      <c r="G27" s="923"/>
      <c r="H27" s="923"/>
      <c r="I27" s="923"/>
    </row>
    <row r="28" spans="1:26">
      <c r="B28" s="923"/>
      <c r="C28" s="923"/>
      <c r="D28" s="923"/>
      <c r="E28" s="923"/>
      <c r="F28" s="923"/>
      <c r="G28" s="923"/>
      <c r="H28" s="923"/>
      <c r="I28" s="923"/>
      <c r="R28" s="469" t="str">
        <f>ΥΠΟΛΟΓΙΣΜΟΙ!$Q$5</f>
        <v>Energy Cert. Adapt  ver.5.00</v>
      </c>
    </row>
    <row r="29" spans="1:26">
      <c r="B29" s="923"/>
      <c r="C29" s="923"/>
      <c r="D29" s="923"/>
      <c r="E29" s="923"/>
      <c r="F29" s="923"/>
      <c r="G29" s="923"/>
      <c r="H29" s="923"/>
      <c r="I29" s="923"/>
      <c r="R29" s="469" t="str">
        <f>ΥΠΟΛΟΓΙΣΜΟΙ!$Q$6</f>
        <v>www.gzafeirakis.gr | ©2019</v>
      </c>
    </row>
    <row r="30" spans="1:26">
      <c r="R30" s="470" t="str">
        <f>ΥΠΟΛΟΓΙΣΜΟΙ!$Q$7</f>
        <v>σύμφωνα με την TOTEE-20701-1 / 2017</v>
      </c>
    </row>
    <row r="31" spans="1:26">
      <c r="B31" s="922"/>
      <c r="C31" s="922"/>
      <c r="D31" s="922"/>
      <c r="E31" s="922"/>
      <c r="F31" s="922"/>
      <c r="G31" s="922"/>
      <c r="H31" s="922"/>
    </row>
    <row r="32" spans="1:26">
      <c r="B32" s="922"/>
      <c r="C32" s="922"/>
      <c r="D32" s="922"/>
      <c r="E32" s="922"/>
      <c r="F32" s="922"/>
      <c r="G32" s="922"/>
      <c r="H32" s="922"/>
    </row>
  </sheetData>
  <mergeCells count="5">
    <mergeCell ref="B24:O24"/>
    <mergeCell ref="B1:O1"/>
    <mergeCell ref="B32:H32"/>
    <mergeCell ref="B31:H31"/>
    <mergeCell ref="B26:I29"/>
  </mergeCells>
  <dataValidations count="3">
    <dataValidation operator="equal" sqref="B4:B23"/>
    <dataValidation type="list" allowBlank="1" showInputMessage="1" showErrorMessage="1" sqref="Q4:Q23">
      <formula1>sys!$C$245:$C$262</formula1>
    </dataValidation>
    <dataValidation type="list" allowBlank="1" showInputMessage="1" showErrorMessage="1" sqref="R4:R23">
      <formula1>sys!$N$247:$N$251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U28"/>
  <sheetViews>
    <sheetView workbookViewId="0">
      <selection activeCell="B4" sqref="B4"/>
    </sheetView>
  </sheetViews>
  <sheetFormatPr defaultRowHeight="14.4"/>
  <cols>
    <col min="1" max="1" width="2.88671875" style="389" customWidth="1"/>
    <col min="2" max="2" width="12.6640625" style="389" customWidth="1"/>
    <col min="3" max="3" width="12.5546875" style="389" customWidth="1"/>
    <col min="4" max="6" width="6.77734375" style="389" customWidth="1"/>
    <col min="7" max="7" width="31.88671875" style="389" customWidth="1"/>
    <col min="8" max="8" width="6.44140625" style="389" customWidth="1"/>
    <col min="9" max="9" width="6.109375" style="389" customWidth="1"/>
    <col min="10" max="15" width="6.77734375" style="389" customWidth="1"/>
    <col min="16" max="16" width="1.44140625" style="389" customWidth="1"/>
    <col min="17" max="17" width="21.33203125" style="389" customWidth="1"/>
    <col min="18" max="18" width="17.21875" style="389" customWidth="1"/>
    <col min="19" max="19" width="8.77734375" style="389" customWidth="1"/>
    <col min="20" max="20" width="20.88671875" style="389" customWidth="1"/>
    <col min="21" max="16384" width="8.88671875" style="389"/>
  </cols>
  <sheetData>
    <row r="1" spans="1:21" ht="18.600000000000001" customHeight="1">
      <c r="B1" s="921" t="s">
        <v>843</v>
      </c>
      <c r="C1" s="921"/>
      <c r="D1" s="921"/>
      <c r="E1" s="921"/>
      <c r="F1" s="921"/>
      <c r="G1" s="921"/>
      <c r="H1" s="921"/>
      <c r="I1" s="921"/>
      <c r="J1" s="921"/>
      <c r="K1" s="921"/>
      <c r="L1" s="921"/>
      <c r="M1" s="921"/>
      <c r="N1" s="921"/>
      <c r="O1" s="921"/>
    </row>
    <row r="2" spans="1:21" ht="14.4" customHeight="1">
      <c r="Q2" s="927" t="s">
        <v>719</v>
      </c>
      <c r="R2" s="927"/>
      <c r="S2" s="927"/>
      <c r="T2" s="927"/>
    </row>
    <row r="3" spans="1:21" ht="28.2" customHeight="1">
      <c r="A3" s="486"/>
      <c r="B3" s="390" t="s">
        <v>675</v>
      </c>
      <c r="C3" s="410" t="s">
        <v>4</v>
      </c>
      <c r="D3" s="390" t="s">
        <v>723</v>
      </c>
      <c r="E3" s="390" t="s">
        <v>724</v>
      </c>
      <c r="F3" s="390" t="s">
        <v>725</v>
      </c>
      <c r="G3" s="391" t="s">
        <v>682</v>
      </c>
      <c r="H3" s="391" t="s">
        <v>683</v>
      </c>
      <c r="I3" s="391" t="s">
        <v>684</v>
      </c>
      <c r="J3" s="390" t="s">
        <v>752</v>
      </c>
      <c r="K3" s="390" t="s">
        <v>753</v>
      </c>
      <c r="L3" s="390" t="s">
        <v>754</v>
      </c>
      <c r="M3" s="390" t="s">
        <v>755</v>
      </c>
      <c r="N3" s="390" t="s">
        <v>756</v>
      </c>
      <c r="O3" s="390" t="s">
        <v>757</v>
      </c>
      <c r="Q3" s="397" t="s">
        <v>715</v>
      </c>
      <c r="R3" s="397" t="s">
        <v>716</v>
      </c>
      <c r="S3" s="397" t="s">
        <v>717</v>
      </c>
      <c r="T3" s="397" t="s">
        <v>718</v>
      </c>
    </row>
    <row r="4" spans="1:21">
      <c r="A4" s="487">
        <v>1</v>
      </c>
      <c r="B4" s="422" t="str">
        <f>IF(ΥΠΟΛΟΓΙΣΜΟΙ!B46=0," ",ΥΠΟΛΟΓΙΣΜΟΙ!M46)</f>
        <v xml:space="preserve"> </v>
      </c>
      <c r="C4" s="424" t="str">
        <f>IF(ΥΠΟΛΟΓΙΣΜΟΙ!B46=0," ",ΥΠΟΛΟΓΙΣΜΟΙ!B46)</f>
        <v xml:space="preserve"> </v>
      </c>
      <c r="D4" s="425" t="str">
        <f>IF(ΥΠΟΛΟΓΙΣΜΟΙ!H46&gt;0,ΥΠΟΛΟΓΙΣΜΟΙ!H46,"")</f>
        <v/>
      </c>
      <c r="E4" s="425" t="str">
        <f>IF(ΥΠΟΛΟΓΙΣΜΟΙ!B46=0,"",ΥΠΟΛΟΓΙΣΜΟΙ!I46)</f>
        <v/>
      </c>
      <c r="F4" s="421" t="str">
        <f>IF(ΥΠΟΛΟΓΙΣΜΟΙ!B46=0,"",ΥΠΟΛΟΓΙΣΜΟΙ!G46)</f>
        <v/>
      </c>
      <c r="G4" s="423" t="str">
        <f>IF(ΥΠΟΛΟΓΙΣΜΟΙ!B46=0," ",Q4&amp;" "&amp;R4&amp;" "&amp;S4&amp;"%"&amp;" "&amp;T4)</f>
        <v xml:space="preserve"> </v>
      </c>
      <c r="H4" s="420" t="str">
        <f>IF(ΥΠΟΛΟΓΙΣΜΟΙ!B46=0," ",IF(Q4=sys!$U$247,INDEX(sys!$C$266:$G$286,MATCH(ΔΙΑΦΑΝΕΙΣ!R4&amp;" "&amp;ΔΙΑΦΑΝΕΙΣ!S4,sys!$A$266:$A$286,0),MATCH(ΔΙΑΦΑΝΕΙΣ!T4,sys!$C$265:$G$265,0)),IF(Q4=sys!$U$248,INDEX(sys!$K$266:$O$286,MATCH(ΔΙΑΦΑΝΕΙΣ!R4&amp;" "&amp;ΔΙΑΦΑΝΕΙΣ!S4,sys!$I$266:$I$286,0),MATCH(ΔΙΑΦΑΝΕΙΣ!T4,sys!$K$265:$O$265,0)),INDEX(sys!$S$266:$W$286,MATCH(ΔΙΑΦΑΝΕΙΣ!R4&amp;" "&amp;ΔΙΑΦΑΝΕΙΣ!S4,sys!$Q$266:$Q$286,0),MATCH(ΔΙΑΦΑΝΕΙΣ!T4,sys!$S$265:$W$265,0)))))</f>
        <v xml:space="preserve"> </v>
      </c>
      <c r="I4" s="421" t="str">
        <f>IF(ΥΠΟΛΟΓΙΣΜΟΙ!B46=0,"",INDEX(sys!$Q$255:$S$259,MATCH(ΔΙΑΦΑΝΕΙΣ!T4,sys!$N$255:$N$259,0),MATCH(ΔΙΑΦΑΝΕΙΣ!S4,sys!$Q$254:$S$254,0)))</f>
        <v/>
      </c>
      <c r="J4" s="421" t="str">
        <f>IF(ΥΠΟΛΟΓΙΣΜΟΙ!B46=0," ",ΥΠΟΛΟΓΙΣΜΟΙ!O46)</f>
        <v xml:space="preserve"> </v>
      </c>
      <c r="K4" s="421" t="str">
        <f>IF(ΥΠΟΛΟΓΙΣΜΟΙ!B46=0," ",ΥΠΟΛΟΓΙΣΜΟΙ!P46)</f>
        <v xml:space="preserve"> </v>
      </c>
      <c r="L4" s="421" t="str">
        <f>IF(ΥΠΟΛΟΓΙΣΜΟΙ!B46=0," ",ΥΠΟΛΟΓΙΣΜΟΙ!Q46)</f>
        <v xml:space="preserve"> </v>
      </c>
      <c r="M4" s="421" t="str">
        <f>IF(ΥΠΟΛΟΓΙΣΜΟΙ!B46=0," ",ΥΠΟΛΟΓΙΣΜΟΙ!R46)</f>
        <v xml:space="preserve"> </v>
      </c>
      <c r="N4" s="421" t="str">
        <f>IF(ΥΠΟΛΟΓΙΣΜΟΙ!B46=0," ",ΥΠΟΛΟΓΙΣΜΟΙ!S46)</f>
        <v xml:space="preserve"> </v>
      </c>
      <c r="O4" s="421" t="str">
        <f>IF(ΥΠΟΛΟΓΙΣΜΟΙ!B46=0," ",ΥΠΟΛΟΓΙΣΜΟΙ!T46)</f>
        <v xml:space="preserve"> </v>
      </c>
      <c r="P4" s="388"/>
      <c r="Q4" s="400" t="s">
        <v>720</v>
      </c>
      <c r="R4" s="400" t="s">
        <v>491</v>
      </c>
      <c r="S4" s="401">
        <v>20</v>
      </c>
      <c r="T4" s="400" t="s">
        <v>513</v>
      </c>
      <c r="U4" s="389" t="s">
        <v>841</v>
      </c>
    </row>
    <row r="5" spans="1:21">
      <c r="A5" s="487">
        <v>2</v>
      </c>
      <c r="B5" s="422" t="str">
        <f>IF(ΥΠΟΛΟΓΙΣΜΟΙ!B47=0," ",ΥΠΟΛΟΓΙΣΜΟΙ!M47)</f>
        <v xml:space="preserve"> </v>
      </c>
      <c r="C5" s="424" t="str">
        <f>IF(ΥΠΟΛΟΓΙΣΜΟΙ!B47=0," ",ΥΠΟΛΟΓΙΣΜΟΙ!B47)</f>
        <v xml:space="preserve"> </v>
      </c>
      <c r="D5" s="425" t="str">
        <f>IF(ΥΠΟΛΟΓΙΣΜΟΙ!H47&gt;0,ΥΠΟΛΟΓΙΣΜΟΙ!H47,"")</f>
        <v/>
      </c>
      <c r="E5" s="425" t="str">
        <f>IF(ΥΠΟΛΟΓΙΣΜΟΙ!B47=0,"",ΥΠΟΛΟΓΙΣΜΟΙ!I47)</f>
        <v/>
      </c>
      <c r="F5" s="421" t="str">
        <f>IF(ΥΠΟΛΟΓΙΣΜΟΙ!B47=0," ",ΥΠΟΛΟΓΙΣΜΟΙ!G47)</f>
        <v xml:space="preserve"> </v>
      </c>
      <c r="G5" s="423" t="str">
        <f>IF(ΥΠΟΛΟΓΙΣΜΟΙ!B47=0," ",Q5&amp;" "&amp;R5&amp;" "&amp;S5&amp;"%"&amp;" "&amp;T5)</f>
        <v xml:space="preserve"> </v>
      </c>
      <c r="H5" s="420" t="str">
        <f>IF(ΥΠΟΛΟΓΙΣΜΟΙ!B47=0," ",IF(Q5=sys!$U$247,INDEX(sys!$C$266:$G$286,MATCH(ΔΙΑΦΑΝΕΙΣ!R5&amp;" "&amp;ΔΙΑΦΑΝΕΙΣ!S5,sys!$A$266:$A$286,0),MATCH(ΔΙΑΦΑΝΕΙΣ!T5,sys!$C$265:$G$265,0)),IF(Q5=sys!$U$248,INDEX(sys!$K$266:$O$286,MATCH(ΔΙΑΦΑΝΕΙΣ!R5&amp;" "&amp;ΔΙΑΦΑΝΕΙΣ!S5,sys!$I$266:$I$286,0),MATCH(ΔΙΑΦΑΝΕΙΣ!T5,sys!$K$265:$O$265,0)),INDEX(sys!$S$266:$W$286,MATCH(ΔΙΑΦΑΝΕΙΣ!R5&amp;" "&amp;ΔΙΑΦΑΝΕΙΣ!S5,sys!$Q$266:$Q$286,0),MATCH(ΔΙΑΦΑΝΕΙΣ!T5,sys!$S$265:$W$265,0)))))</f>
        <v xml:space="preserve"> </v>
      </c>
      <c r="I5" s="421" t="str">
        <f>IF(ΥΠΟΛΟΓΙΣΜΟΙ!B47=0,"",INDEX(sys!$Q$255:$S$259,MATCH(ΔΙΑΦΑΝΕΙΣ!T5,sys!$N$255:$N$259,0),MATCH(ΔΙΑΦΑΝΕΙΣ!S5,sys!$Q$254:$S$254,0)))</f>
        <v/>
      </c>
      <c r="J5" s="421" t="str">
        <f>IF(ΥΠΟΛΟΓΙΣΜΟΙ!B47=0," ",ΥΠΟΛΟΓΙΣΜΟΙ!O47)</f>
        <v xml:space="preserve"> </v>
      </c>
      <c r="K5" s="421" t="str">
        <f>IF(ΥΠΟΛΟΓΙΣΜΟΙ!B47=0," ",ΥΠΟΛΟΓΙΣΜΟΙ!P47)</f>
        <v xml:space="preserve"> </v>
      </c>
      <c r="L5" s="421" t="str">
        <f>IF(ΥΠΟΛΟΓΙΣΜΟΙ!B47=0," ",ΥΠΟΛΟΓΙΣΜΟΙ!Q47)</f>
        <v xml:space="preserve"> </v>
      </c>
      <c r="M5" s="421" t="str">
        <f>IF(ΥΠΟΛΟΓΙΣΜΟΙ!B47=0," ",ΥΠΟΛΟΓΙΣΜΟΙ!R47)</f>
        <v xml:space="preserve"> </v>
      </c>
      <c r="N5" s="421" t="str">
        <f>IF(ΥΠΟΛΟΓΙΣΜΟΙ!B47=0," ",ΥΠΟΛΟΓΙΣΜΟΙ!S47)</f>
        <v xml:space="preserve"> </v>
      </c>
      <c r="O5" s="421" t="str">
        <f>IF(ΥΠΟΛΟΓΙΣΜΟΙ!B47=0," ",ΥΠΟΛΟΓΙΣΜΟΙ!T47)</f>
        <v xml:space="preserve"> </v>
      </c>
      <c r="Q5" s="400" t="s">
        <v>720</v>
      </c>
      <c r="R5" s="400" t="s">
        <v>491</v>
      </c>
      <c r="S5" s="401">
        <v>20</v>
      </c>
      <c r="T5" s="400" t="s">
        <v>513</v>
      </c>
      <c r="U5" s="389" t="s">
        <v>841</v>
      </c>
    </row>
    <row r="6" spans="1:21">
      <c r="A6" s="487">
        <v>3</v>
      </c>
      <c r="B6" s="422" t="str">
        <f>IF(ΥΠΟΛΟΓΙΣΜΟΙ!B48=0," ",ΥΠΟΛΟΓΙΣΜΟΙ!M48)</f>
        <v xml:space="preserve"> </v>
      </c>
      <c r="C6" s="424" t="str">
        <f>IF(ΥΠΟΛΟΓΙΣΜΟΙ!B48=0," ",ΥΠΟΛΟΓΙΣΜΟΙ!B48)</f>
        <v xml:space="preserve"> </v>
      </c>
      <c r="D6" s="425" t="str">
        <f>IF(ΥΠΟΛΟΓΙΣΜΟΙ!H48&gt;0,ΥΠΟΛΟΓΙΣΜΟΙ!H48,"")</f>
        <v/>
      </c>
      <c r="E6" s="425" t="str">
        <f>IF(ΥΠΟΛΟΓΙΣΜΟΙ!B48=0,"",ΥΠΟΛΟΓΙΣΜΟΙ!I48)</f>
        <v/>
      </c>
      <c r="F6" s="421" t="str">
        <f>IF(ΥΠΟΛΟΓΙΣΜΟΙ!B48=0," ",ΥΠΟΛΟΓΙΣΜΟΙ!G48)</f>
        <v xml:space="preserve"> </v>
      </c>
      <c r="G6" s="423" t="str">
        <f>IF(ΥΠΟΛΟΓΙΣΜΟΙ!B48=0," ",Q6&amp;" "&amp;R6&amp;" "&amp;S6&amp;"%"&amp;" "&amp;T6)</f>
        <v xml:space="preserve"> </v>
      </c>
      <c r="H6" s="420" t="str">
        <f>IF(ΥΠΟΛΟΓΙΣΜΟΙ!B48=0," ",IF(Q6=sys!$U$247,INDEX(sys!$C$266:$G$286,MATCH(ΔΙΑΦΑΝΕΙΣ!R6&amp;" "&amp;ΔΙΑΦΑΝΕΙΣ!S6,sys!$A$266:$A$286,0),MATCH(ΔΙΑΦΑΝΕΙΣ!T6,sys!$C$265:$G$265,0)),IF(Q6=sys!$U$248,INDEX(sys!$K$266:$O$286,MATCH(ΔΙΑΦΑΝΕΙΣ!R6&amp;" "&amp;ΔΙΑΦΑΝΕΙΣ!S6,sys!$I$266:$I$286,0),MATCH(ΔΙΑΦΑΝΕΙΣ!T6,sys!$K$265:$O$265,0)),INDEX(sys!$S$266:$W$286,MATCH(ΔΙΑΦΑΝΕΙΣ!R6&amp;" "&amp;ΔΙΑΦΑΝΕΙΣ!S6,sys!$Q$266:$Q$286,0),MATCH(ΔΙΑΦΑΝΕΙΣ!T6,sys!$S$265:$W$265,0)))))</f>
        <v xml:space="preserve"> </v>
      </c>
      <c r="I6" s="421" t="str">
        <f>IF(ΥΠΟΛΟΓΙΣΜΟΙ!B48=0,"",INDEX(sys!$Q$255:$S$259,MATCH(ΔΙΑΦΑΝΕΙΣ!T6,sys!$N$255:$N$259,0),MATCH(ΔΙΑΦΑΝΕΙΣ!S6,sys!$Q$254:$S$254,0)))</f>
        <v/>
      </c>
      <c r="J6" s="421" t="str">
        <f>IF(ΥΠΟΛΟΓΙΣΜΟΙ!B48=0," ",ΥΠΟΛΟΓΙΣΜΟΙ!O48)</f>
        <v xml:space="preserve"> </v>
      </c>
      <c r="K6" s="421" t="str">
        <f>IF(ΥΠΟΛΟΓΙΣΜΟΙ!B48=0," ",ΥΠΟΛΟΓΙΣΜΟΙ!P48)</f>
        <v xml:space="preserve"> </v>
      </c>
      <c r="L6" s="421" t="str">
        <f>IF(ΥΠΟΛΟΓΙΣΜΟΙ!B48=0," ",ΥΠΟΛΟΓΙΣΜΟΙ!Q48)</f>
        <v xml:space="preserve"> </v>
      </c>
      <c r="M6" s="421" t="str">
        <f>IF(ΥΠΟΛΟΓΙΣΜΟΙ!B48=0," ",ΥΠΟΛΟΓΙΣΜΟΙ!R48)</f>
        <v xml:space="preserve"> </v>
      </c>
      <c r="N6" s="421" t="str">
        <f>IF(ΥΠΟΛΟΓΙΣΜΟΙ!B48=0," ",ΥΠΟΛΟΓΙΣΜΟΙ!S48)</f>
        <v xml:space="preserve"> </v>
      </c>
      <c r="O6" s="421" t="str">
        <f>IF(ΥΠΟΛΟΓΙΣΜΟΙ!B48=0," ",ΥΠΟΛΟΓΙΣΜΟΙ!T48)</f>
        <v xml:space="preserve"> </v>
      </c>
      <c r="Q6" s="400" t="s">
        <v>720</v>
      </c>
      <c r="R6" s="400" t="s">
        <v>491</v>
      </c>
      <c r="S6" s="401">
        <v>20</v>
      </c>
      <c r="T6" s="400" t="s">
        <v>513</v>
      </c>
      <c r="U6" s="389" t="s">
        <v>841</v>
      </c>
    </row>
    <row r="7" spans="1:21">
      <c r="A7" s="487">
        <v>4</v>
      </c>
      <c r="B7" s="422" t="str">
        <f>IF(ΥΠΟΛΟΓΙΣΜΟΙ!B49=0," ",ΥΠΟΛΟΓΙΣΜΟΙ!M49)</f>
        <v xml:space="preserve"> </v>
      </c>
      <c r="C7" s="424" t="str">
        <f>IF(ΥΠΟΛΟΓΙΣΜΟΙ!B49=0," ",ΥΠΟΛΟΓΙΣΜΟΙ!B49)</f>
        <v xml:space="preserve"> </v>
      </c>
      <c r="D7" s="425" t="str">
        <f>IF(ΥΠΟΛΟΓΙΣΜΟΙ!H49&gt;0,ΥΠΟΛΟΓΙΣΜΟΙ!H49,"")</f>
        <v/>
      </c>
      <c r="E7" s="425" t="str">
        <f>IF(ΥΠΟΛΟΓΙΣΜΟΙ!B49=0,"",ΥΠΟΛΟΓΙΣΜΟΙ!I49)</f>
        <v/>
      </c>
      <c r="F7" s="421" t="str">
        <f>IF(ΥΠΟΛΟΓΙΣΜΟΙ!B49=0," ",ΥΠΟΛΟΓΙΣΜΟΙ!G49)</f>
        <v xml:space="preserve"> </v>
      </c>
      <c r="G7" s="423" t="str">
        <f>IF(ΥΠΟΛΟΓΙΣΜΟΙ!B49=0," ",Q7&amp;" "&amp;R7&amp;" "&amp;S7&amp;"%"&amp;" "&amp;T7)</f>
        <v xml:space="preserve"> </v>
      </c>
      <c r="H7" s="420" t="str">
        <f>IF(ΥΠΟΛΟΓΙΣΜΟΙ!B49=0," ",IF(Q7=sys!$U$247,INDEX(sys!$C$266:$G$286,MATCH(ΔΙΑΦΑΝΕΙΣ!R7&amp;" "&amp;ΔΙΑΦΑΝΕΙΣ!S7,sys!$A$266:$A$286,0),MATCH(ΔΙΑΦΑΝΕΙΣ!T7,sys!$C$265:$G$265,0)),IF(Q7=sys!$U$248,INDEX(sys!$K$266:$O$286,MATCH(ΔΙΑΦΑΝΕΙΣ!R7&amp;" "&amp;ΔΙΑΦΑΝΕΙΣ!S7,sys!$I$266:$I$286,0),MATCH(ΔΙΑΦΑΝΕΙΣ!T7,sys!$K$265:$O$265,0)),INDEX(sys!$S$266:$W$286,MATCH(ΔΙΑΦΑΝΕΙΣ!R7&amp;" "&amp;ΔΙΑΦΑΝΕΙΣ!S7,sys!$Q$266:$Q$286,0),MATCH(ΔΙΑΦΑΝΕΙΣ!T7,sys!$S$265:$W$265,0)))))</f>
        <v xml:space="preserve"> </v>
      </c>
      <c r="I7" s="421" t="str">
        <f>IF(ΥΠΟΛΟΓΙΣΜΟΙ!B49=0,"",INDEX(sys!$Q$255:$S$259,MATCH(ΔΙΑΦΑΝΕΙΣ!T7,sys!$N$255:$N$259,0),MATCH(ΔΙΑΦΑΝΕΙΣ!S7,sys!$Q$254:$S$254,0)))</f>
        <v/>
      </c>
      <c r="J7" s="421" t="str">
        <f>IF(ΥΠΟΛΟΓΙΣΜΟΙ!B49=0," ",ΥΠΟΛΟΓΙΣΜΟΙ!O49)</f>
        <v xml:space="preserve"> </v>
      </c>
      <c r="K7" s="421" t="str">
        <f>IF(ΥΠΟΛΟΓΙΣΜΟΙ!B49=0," ",ΥΠΟΛΟΓΙΣΜΟΙ!P49)</f>
        <v xml:space="preserve"> </v>
      </c>
      <c r="L7" s="421" t="str">
        <f>IF(ΥΠΟΛΟΓΙΣΜΟΙ!B49=0," ",ΥΠΟΛΟΓΙΣΜΟΙ!Q49)</f>
        <v xml:space="preserve"> </v>
      </c>
      <c r="M7" s="421" t="str">
        <f>IF(ΥΠΟΛΟΓΙΣΜΟΙ!B49=0," ",ΥΠΟΛΟΓΙΣΜΟΙ!R49)</f>
        <v xml:space="preserve"> </v>
      </c>
      <c r="N7" s="421" t="str">
        <f>IF(ΥΠΟΛΟΓΙΣΜΟΙ!B49=0," ",ΥΠΟΛΟΓΙΣΜΟΙ!S49)</f>
        <v xml:space="preserve"> </v>
      </c>
      <c r="O7" s="421" t="str">
        <f>IF(ΥΠΟΛΟΓΙΣΜΟΙ!B49=0," ",ΥΠΟΛΟΓΙΣΜΟΙ!T49)</f>
        <v xml:space="preserve"> </v>
      </c>
      <c r="Q7" s="400" t="s">
        <v>720</v>
      </c>
      <c r="R7" s="400" t="s">
        <v>491</v>
      </c>
      <c r="S7" s="401">
        <v>20</v>
      </c>
      <c r="T7" s="400" t="s">
        <v>513</v>
      </c>
      <c r="U7" s="389" t="s">
        <v>841</v>
      </c>
    </row>
    <row r="8" spans="1:21">
      <c r="A8" s="487">
        <v>5</v>
      </c>
      <c r="B8" s="422" t="str">
        <f>IF(ΥΠΟΛΟΓΙΣΜΟΙ!B50=0," ",ΥΠΟΛΟΓΙΣΜΟΙ!M50)</f>
        <v xml:space="preserve"> </v>
      </c>
      <c r="C8" s="424" t="str">
        <f>IF(ΥΠΟΛΟΓΙΣΜΟΙ!B50=0," ",ΥΠΟΛΟΓΙΣΜΟΙ!B50)</f>
        <v xml:space="preserve"> </v>
      </c>
      <c r="D8" s="425" t="str">
        <f>IF(ΥΠΟΛΟΓΙΣΜΟΙ!H50&gt;0,ΥΠΟΛΟΓΙΣΜΟΙ!H50,"")</f>
        <v/>
      </c>
      <c r="E8" s="425" t="str">
        <f>IF(ΥΠΟΛΟΓΙΣΜΟΙ!B50=0,"",ΥΠΟΛΟΓΙΣΜΟΙ!I50)</f>
        <v/>
      </c>
      <c r="F8" s="421" t="str">
        <f>IF(ΥΠΟΛΟΓΙΣΜΟΙ!B50=0," ",ΥΠΟΛΟΓΙΣΜΟΙ!G50)</f>
        <v xml:space="preserve"> </v>
      </c>
      <c r="G8" s="423" t="str">
        <f>IF(ΥΠΟΛΟΓΙΣΜΟΙ!B50=0," ",Q8&amp;" "&amp;R8&amp;" "&amp;S8&amp;"%"&amp;" "&amp;T8)</f>
        <v xml:space="preserve"> </v>
      </c>
      <c r="H8" s="420" t="str">
        <f>IF(ΥΠΟΛΟΓΙΣΜΟΙ!B50=0," ",IF(Q8=sys!$U$247,INDEX(sys!$C$266:$G$286,MATCH(ΔΙΑΦΑΝΕΙΣ!R8&amp;" "&amp;ΔΙΑΦΑΝΕΙΣ!S8,sys!$A$266:$A$286,0),MATCH(ΔΙΑΦΑΝΕΙΣ!T8,sys!$C$265:$G$265,0)),IF(Q8=sys!$U$248,INDEX(sys!$K$266:$O$286,MATCH(ΔΙΑΦΑΝΕΙΣ!R8&amp;" "&amp;ΔΙΑΦΑΝΕΙΣ!S8,sys!$I$266:$I$286,0),MATCH(ΔΙΑΦΑΝΕΙΣ!T8,sys!$K$265:$O$265,0)),INDEX(sys!$S$266:$W$286,MATCH(ΔΙΑΦΑΝΕΙΣ!R8&amp;" "&amp;ΔΙΑΦΑΝΕΙΣ!S8,sys!$Q$266:$Q$286,0),MATCH(ΔΙΑΦΑΝΕΙΣ!T8,sys!$S$265:$W$265,0)))))</f>
        <v xml:space="preserve"> </v>
      </c>
      <c r="I8" s="421" t="str">
        <f>IF(ΥΠΟΛΟΓΙΣΜΟΙ!B50=0,"",INDEX(sys!$Q$255:$S$259,MATCH(ΔΙΑΦΑΝΕΙΣ!T8,sys!$N$255:$N$259,0),MATCH(ΔΙΑΦΑΝΕΙΣ!S8,sys!$Q$254:$S$254,0)))</f>
        <v/>
      </c>
      <c r="J8" s="421" t="str">
        <f>IF(ΥΠΟΛΟΓΙΣΜΟΙ!B50=0," ",ΥΠΟΛΟΓΙΣΜΟΙ!O50)</f>
        <v xml:space="preserve"> </v>
      </c>
      <c r="K8" s="421" t="str">
        <f>IF(ΥΠΟΛΟΓΙΣΜΟΙ!B50=0," ",ΥΠΟΛΟΓΙΣΜΟΙ!P50)</f>
        <v xml:space="preserve"> </v>
      </c>
      <c r="L8" s="421" t="str">
        <f>IF(ΥΠΟΛΟΓΙΣΜΟΙ!B50=0," ",ΥΠΟΛΟΓΙΣΜΟΙ!Q50)</f>
        <v xml:space="preserve"> </v>
      </c>
      <c r="M8" s="421" t="str">
        <f>IF(ΥΠΟΛΟΓΙΣΜΟΙ!B50=0," ",ΥΠΟΛΟΓΙΣΜΟΙ!R50)</f>
        <v xml:space="preserve"> </v>
      </c>
      <c r="N8" s="421" t="str">
        <f>IF(ΥΠΟΛΟΓΙΣΜΟΙ!B50=0," ",ΥΠΟΛΟΓΙΣΜΟΙ!S50)</f>
        <v xml:space="preserve"> </v>
      </c>
      <c r="O8" s="421" t="str">
        <f>IF(ΥΠΟΛΟΓΙΣΜΟΙ!B50=0," ",ΥΠΟΛΟΓΙΣΜΟΙ!T50)</f>
        <v xml:space="preserve"> </v>
      </c>
      <c r="Q8" s="400" t="s">
        <v>720</v>
      </c>
      <c r="R8" s="400" t="s">
        <v>491</v>
      </c>
      <c r="S8" s="401">
        <v>20</v>
      </c>
      <c r="T8" s="400" t="s">
        <v>513</v>
      </c>
      <c r="U8" s="389" t="s">
        <v>841</v>
      </c>
    </row>
    <row r="9" spans="1:21">
      <c r="A9" s="487">
        <v>6</v>
      </c>
      <c r="B9" s="422" t="str">
        <f>IF(ΥΠΟΛΟΓΙΣΜΟΙ!B51=0," ",ΥΠΟΛΟΓΙΣΜΟΙ!M51)</f>
        <v xml:space="preserve"> </v>
      </c>
      <c r="C9" s="424" t="str">
        <f>IF(ΥΠΟΛΟΓΙΣΜΟΙ!B51=0," ",ΥΠΟΛΟΓΙΣΜΟΙ!B51)</f>
        <v xml:space="preserve"> </v>
      </c>
      <c r="D9" s="425" t="str">
        <f>IF(ΥΠΟΛΟΓΙΣΜΟΙ!H51&gt;0,ΥΠΟΛΟΓΙΣΜΟΙ!H51,"")</f>
        <v/>
      </c>
      <c r="E9" s="425" t="str">
        <f>IF(ΥΠΟΛΟΓΙΣΜΟΙ!B51=0,"",ΥΠΟΛΟΓΙΣΜΟΙ!I51)</f>
        <v/>
      </c>
      <c r="F9" s="421" t="str">
        <f>IF(ΥΠΟΛΟΓΙΣΜΟΙ!B51=0," ",ΥΠΟΛΟΓΙΣΜΟΙ!G51)</f>
        <v xml:space="preserve"> </v>
      </c>
      <c r="G9" s="423" t="str">
        <f>IF(ΥΠΟΛΟΓΙΣΜΟΙ!B51=0," ",Q9&amp;" "&amp;R9&amp;" "&amp;S9&amp;"%"&amp;" "&amp;T9)</f>
        <v xml:space="preserve"> </v>
      </c>
      <c r="H9" s="420" t="str">
        <f>IF(ΥΠΟΛΟΓΙΣΜΟΙ!B51=0," ",IF(Q9=sys!$U$247,INDEX(sys!$C$266:$G$286,MATCH(ΔΙΑΦΑΝΕΙΣ!R9&amp;" "&amp;ΔΙΑΦΑΝΕΙΣ!S9,sys!$A$266:$A$286,0),MATCH(ΔΙΑΦΑΝΕΙΣ!T9,sys!$C$265:$G$265,0)),IF(Q9=sys!$U$248,INDEX(sys!$K$266:$O$286,MATCH(ΔΙΑΦΑΝΕΙΣ!R9&amp;" "&amp;ΔΙΑΦΑΝΕΙΣ!S9,sys!$I$266:$I$286,0),MATCH(ΔΙΑΦΑΝΕΙΣ!T9,sys!$K$265:$O$265,0)),INDEX(sys!$S$266:$W$286,MATCH(ΔΙΑΦΑΝΕΙΣ!R9&amp;" "&amp;ΔΙΑΦΑΝΕΙΣ!S9,sys!$Q$266:$Q$286,0),MATCH(ΔΙΑΦΑΝΕΙΣ!T9,sys!$S$265:$W$265,0)))))</f>
        <v xml:space="preserve"> </v>
      </c>
      <c r="I9" s="421" t="str">
        <f>IF(ΥΠΟΛΟΓΙΣΜΟΙ!B51=0,"",INDEX(sys!$Q$255:$S$259,MATCH(ΔΙΑΦΑΝΕΙΣ!T9,sys!$N$255:$N$259,0),MATCH(ΔΙΑΦΑΝΕΙΣ!S9,sys!$Q$254:$S$254,0)))</f>
        <v/>
      </c>
      <c r="J9" s="421" t="str">
        <f>IF(ΥΠΟΛΟΓΙΣΜΟΙ!B51=0," ",ΥΠΟΛΟΓΙΣΜΟΙ!O51)</f>
        <v xml:space="preserve"> </v>
      </c>
      <c r="K9" s="421" t="str">
        <f>IF(ΥΠΟΛΟΓΙΣΜΟΙ!B51=0," ",ΥΠΟΛΟΓΙΣΜΟΙ!P51)</f>
        <v xml:space="preserve"> </v>
      </c>
      <c r="L9" s="421" t="str">
        <f>IF(ΥΠΟΛΟΓΙΣΜΟΙ!B51=0," ",ΥΠΟΛΟΓΙΣΜΟΙ!Q51)</f>
        <v xml:space="preserve"> </v>
      </c>
      <c r="M9" s="421" t="str">
        <f>IF(ΥΠΟΛΟΓΙΣΜΟΙ!B51=0," ",ΥΠΟΛΟΓΙΣΜΟΙ!R51)</f>
        <v xml:space="preserve"> </v>
      </c>
      <c r="N9" s="421" t="str">
        <f>IF(ΥΠΟΛΟΓΙΣΜΟΙ!B51=0," ",ΥΠΟΛΟΓΙΣΜΟΙ!S51)</f>
        <v xml:space="preserve"> </v>
      </c>
      <c r="O9" s="421" t="str">
        <f>IF(ΥΠΟΛΟΓΙΣΜΟΙ!B51=0," ",ΥΠΟΛΟΓΙΣΜΟΙ!T51)</f>
        <v xml:space="preserve"> </v>
      </c>
      <c r="Q9" s="400" t="s">
        <v>720</v>
      </c>
      <c r="R9" s="400" t="s">
        <v>491</v>
      </c>
      <c r="S9" s="401">
        <v>20</v>
      </c>
      <c r="T9" s="400" t="s">
        <v>513</v>
      </c>
      <c r="U9" s="389" t="s">
        <v>841</v>
      </c>
    </row>
    <row r="10" spans="1:21">
      <c r="A10" s="487">
        <v>7</v>
      </c>
      <c r="B10" s="422" t="str">
        <f>IF(ΥΠΟΛΟΓΙΣΜΟΙ!B52=0," ",ΥΠΟΛΟΓΙΣΜΟΙ!M52)</f>
        <v xml:space="preserve"> </v>
      </c>
      <c r="C10" s="424" t="str">
        <f>IF(ΥΠΟΛΟΓΙΣΜΟΙ!B52=0," ",ΥΠΟΛΟΓΙΣΜΟΙ!B52)</f>
        <v xml:space="preserve"> </v>
      </c>
      <c r="D10" s="425" t="str">
        <f>IF(ΥΠΟΛΟΓΙΣΜΟΙ!H52&gt;0,ΥΠΟΛΟΓΙΣΜΟΙ!H52,"")</f>
        <v/>
      </c>
      <c r="E10" s="425" t="str">
        <f>IF(ΥΠΟΛΟΓΙΣΜΟΙ!B52=0,"",ΥΠΟΛΟΓΙΣΜΟΙ!I52)</f>
        <v/>
      </c>
      <c r="F10" s="421" t="str">
        <f>IF(ΥΠΟΛΟΓΙΣΜΟΙ!B52=0," ",ΥΠΟΛΟΓΙΣΜΟΙ!G52)</f>
        <v xml:space="preserve"> </v>
      </c>
      <c r="G10" s="423" t="str">
        <f>IF(ΥΠΟΛΟΓΙΣΜΟΙ!B52=0," ",Q10&amp;" "&amp;R10&amp;" "&amp;S10&amp;"%"&amp;" "&amp;T10)</f>
        <v xml:space="preserve"> </v>
      </c>
      <c r="H10" s="420" t="str">
        <f>IF(ΥΠΟΛΟΓΙΣΜΟΙ!B52=0," ",IF(Q10=sys!$U$247,INDEX(sys!$C$266:$G$286,MATCH(ΔΙΑΦΑΝΕΙΣ!R10&amp;" "&amp;ΔΙΑΦΑΝΕΙΣ!S10,sys!$A$266:$A$286,0),MATCH(ΔΙΑΦΑΝΕΙΣ!T10,sys!$C$265:$G$265,0)),IF(Q10=sys!$U$248,INDEX(sys!$K$266:$O$286,MATCH(ΔΙΑΦΑΝΕΙΣ!R10&amp;" "&amp;ΔΙΑΦΑΝΕΙΣ!S10,sys!$I$266:$I$286,0),MATCH(ΔΙΑΦΑΝΕΙΣ!T10,sys!$K$265:$O$265,0)),INDEX(sys!$S$266:$W$286,MATCH(ΔΙΑΦΑΝΕΙΣ!R10&amp;" "&amp;ΔΙΑΦΑΝΕΙΣ!S10,sys!$Q$266:$Q$286,0),MATCH(ΔΙΑΦΑΝΕΙΣ!T10,sys!$S$265:$W$265,0)))))</f>
        <v xml:space="preserve"> </v>
      </c>
      <c r="I10" s="421" t="str">
        <f>IF(ΥΠΟΛΟΓΙΣΜΟΙ!B52=0,"",INDEX(sys!$Q$255:$S$259,MATCH(ΔΙΑΦΑΝΕΙΣ!T10,sys!$N$255:$N$259,0),MATCH(ΔΙΑΦΑΝΕΙΣ!S10,sys!$Q$254:$S$254,0)))</f>
        <v/>
      </c>
      <c r="J10" s="421" t="str">
        <f>IF(ΥΠΟΛΟΓΙΣΜΟΙ!B52=0," ",ΥΠΟΛΟΓΙΣΜΟΙ!O52)</f>
        <v xml:space="preserve"> </v>
      </c>
      <c r="K10" s="421" t="str">
        <f>IF(ΥΠΟΛΟΓΙΣΜΟΙ!B52=0," ",ΥΠΟΛΟΓΙΣΜΟΙ!P52)</f>
        <v xml:space="preserve"> </v>
      </c>
      <c r="L10" s="421" t="str">
        <f>IF(ΥΠΟΛΟΓΙΣΜΟΙ!B52=0," ",ΥΠΟΛΟΓΙΣΜΟΙ!Q52)</f>
        <v xml:space="preserve"> </v>
      </c>
      <c r="M10" s="421" t="str">
        <f>IF(ΥΠΟΛΟΓΙΣΜΟΙ!B52=0," ",ΥΠΟΛΟΓΙΣΜΟΙ!R52)</f>
        <v xml:space="preserve"> </v>
      </c>
      <c r="N10" s="421" t="str">
        <f>IF(ΥΠΟΛΟΓΙΣΜΟΙ!B52=0," ",ΥΠΟΛΟΓΙΣΜΟΙ!S52)</f>
        <v xml:space="preserve"> </v>
      </c>
      <c r="O10" s="421" t="str">
        <f>IF(ΥΠΟΛΟΓΙΣΜΟΙ!B52=0," ",ΥΠΟΛΟΓΙΣΜΟΙ!T52)</f>
        <v xml:space="preserve"> </v>
      </c>
      <c r="Q10" s="400" t="s">
        <v>720</v>
      </c>
      <c r="R10" s="400" t="s">
        <v>491</v>
      </c>
      <c r="S10" s="401">
        <v>20</v>
      </c>
      <c r="T10" s="400" t="s">
        <v>513</v>
      </c>
      <c r="U10" s="389" t="s">
        <v>841</v>
      </c>
    </row>
    <row r="11" spans="1:21">
      <c r="A11" s="487">
        <v>8</v>
      </c>
      <c r="B11" s="422" t="str">
        <f>IF(ΥΠΟΛΟΓΙΣΜΟΙ!B53=0," ",ΥΠΟΛΟΓΙΣΜΟΙ!M53)</f>
        <v xml:space="preserve"> </v>
      </c>
      <c r="C11" s="424" t="str">
        <f>IF(ΥΠΟΛΟΓΙΣΜΟΙ!B53=0," ",ΥΠΟΛΟΓΙΣΜΟΙ!B53)</f>
        <v xml:space="preserve"> </v>
      </c>
      <c r="D11" s="425" t="str">
        <f>IF(ΥΠΟΛΟΓΙΣΜΟΙ!H53&gt;0,ΥΠΟΛΟΓΙΣΜΟΙ!H53,"")</f>
        <v/>
      </c>
      <c r="E11" s="425" t="str">
        <f>IF(ΥΠΟΛΟΓΙΣΜΟΙ!B53=0,"",ΥΠΟΛΟΓΙΣΜΟΙ!I53)</f>
        <v/>
      </c>
      <c r="F11" s="421" t="str">
        <f>IF(ΥΠΟΛΟΓΙΣΜΟΙ!B53=0," ",ΥΠΟΛΟΓΙΣΜΟΙ!G53)</f>
        <v xml:space="preserve"> </v>
      </c>
      <c r="G11" s="423" t="str">
        <f>IF(ΥΠΟΛΟΓΙΣΜΟΙ!B53=0," ",Q11&amp;" "&amp;R11&amp;" "&amp;S11&amp;"%"&amp;" "&amp;T11)</f>
        <v xml:space="preserve"> </v>
      </c>
      <c r="H11" s="420" t="str">
        <f>IF(ΥΠΟΛΟΓΙΣΜΟΙ!B53=0," ",IF(Q11=sys!$U$247,INDEX(sys!$C$266:$G$286,MATCH(ΔΙΑΦΑΝΕΙΣ!R11&amp;" "&amp;ΔΙΑΦΑΝΕΙΣ!S11,sys!$A$266:$A$286,0),MATCH(ΔΙΑΦΑΝΕΙΣ!T11,sys!$C$265:$G$265,0)),IF(Q11=sys!$U$248,INDEX(sys!$K$266:$O$286,MATCH(ΔΙΑΦΑΝΕΙΣ!R11&amp;" "&amp;ΔΙΑΦΑΝΕΙΣ!S11,sys!$I$266:$I$286,0),MATCH(ΔΙΑΦΑΝΕΙΣ!T11,sys!$K$265:$O$265,0)),INDEX(sys!$S$266:$W$286,MATCH(ΔΙΑΦΑΝΕΙΣ!R11&amp;" "&amp;ΔΙΑΦΑΝΕΙΣ!S11,sys!$Q$266:$Q$286,0),MATCH(ΔΙΑΦΑΝΕΙΣ!T11,sys!$S$265:$W$265,0)))))</f>
        <v xml:space="preserve"> </v>
      </c>
      <c r="I11" s="421" t="str">
        <f>IF(ΥΠΟΛΟΓΙΣΜΟΙ!B53=0,"",INDEX(sys!$Q$255:$S$259,MATCH(ΔΙΑΦΑΝΕΙΣ!T11,sys!$N$255:$N$259,0),MATCH(ΔΙΑΦΑΝΕΙΣ!S11,sys!$Q$254:$S$254,0)))</f>
        <v/>
      </c>
      <c r="J11" s="421" t="str">
        <f>IF(ΥΠΟΛΟΓΙΣΜΟΙ!B53=0," ",ΥΠΟΛΟΓΙΣΜΟΙ!O53)</f>
        <v xml:space="preserve"> </v>
      </c>
      <c r="K11" s="421" t="str">
        <f>IF(ΥΠΟΛΟΓΙΣΜΟΙ!B53=0," ",ΥΠΟΛΟΓΙΣΜΟΙ!P53)</f>
        <v xml:space="preserve"> </v>
      </c>
      <c r="L11" s="421" t="str">
        <f>IF(ΥΠΟΛΟΓΙΣΜΟΙ!B53=0," ",ΥΠΟΛΟΓΙΣΜΟΙ!Q53)</f>
        <v xml:space="preserve"> </v>
      </c>
      <c r="M11" s="421" t="str">
        <f>IF(ΥΠΟΛΟΓΙΣΜΟΙ!B53=0," ",ΥΠΟΛΟΓΙΣΜΟΙ!R53)</f>
        <v xml:space="preserve"> </v>
      </c>
      <c r="N11" s="421" t="str">
        <f>IF(ΥΠΟΛΟΓΙΣΜΟΙ!B53=0," ",ΥΠΟΛΟΓΙΣΜΟΙ!S53)</f>
        <v xml:space="preserve"> </v>
      </c>
      <c r="O11" s="421" t="str">
        <f>IF(ΥΠΟΛΟΓΙΣΜΟΙ!B53=0," ",ΥΠΟΛΟΓΙΣΜΟΙ!T53)</f>
        <v xml:space="preserve"> </v>
      </c>
      <c r="Q11" s="400" t="s">
        <v>720</v>
      </c>
      <c r="R11" s="400" t="s">
        <v>491</v>
      </c>
      <c r="S11" s="401">
        <v>20</v>
      </c>
      <c r="T11" s="400" t="s">
        <v>513</v>
      </c>
      <c r="U11" s="389" t="s">
        <v>841</v>
      </c>
    </row>
    <row r="12" spans="1:21">
      <c r="A12" s="487">
        <v>9</v>
      </c>
      <c r="B12" s="422" t="str">
        <f>IF(ΥΠΟΛΟΓΙΣΜΟΙ!B54=0," ",ΥΠΟΛΟΓΙΣΜΟΙ!M54)</f>
        <v xml:space="preserve"> </v>
      </c>
      <c r="C12" s="424" t="str">
        <f>IF(ΥΠΟΛΟΓΙΣΜΟΙ!B54=0," ",ΥΠΟΛΟΓΙΣΜΟΙ!B54)</f>
        <v xml:space="preserve"> </v>
      </c>
      <c r="D12" s="425" t="str">
        <f>IF(ΥΠΟΛΟΓΙΣΜΟΙ!H54&gt;0,ΥΠΟΛΟΓΙΣΜΟΙ!H54,"")</f>
        <v/>
      </c>
      <c r="E12" s="425" t="str">
        <f>IF(ΥΠΟΛΟΓΙΣΜΟΙ!B54=0,"",ΥΠΟΛΟΓΙΣΜΟΙ!I54)</f>
        <v/>
      </c>
      <c r="F12" s="421" t="str">
        <f>IF(ΥΠΟΛΟΓΙΣΜΟΙ!B54=0," ",ΥΠΟΛΟΓΙΣΜΟΙ!G54)</f>
        <v xml:space="preserve"> </v>
      </c>
      <c r="G12" s="423" t="str">
        <f>IF(ΥΠΟΛΟΓΙΣΜΟΙ!B54=0," ",Q12&amp;" "&amp;R12&amp;" "&amp;S12&amp;"%"&amp;" "&amp;T12)</f>
        <v xml:space="preserve"> </v>
      </c>
      <c r="H12" s="420" t="str">
        <f>IF(ΥΠΟΛΟΓΙΣΜΟΙ!B54=0," ",IF(Q12=sys!$U$247,INDEX(sys!$C$266:$G$286,MATCH(ΔΙΑΦΑΝΕΙΣ!R12&amp;" "&amp;ΔΙΑΦΑΝΕΙΣ!S12,sys!$A$266:$A$286,0),MATCH(ΔΙΑΦΑΝΕΙΣ!T12,sys!$C$265:$G$265,0)),IF(Q12=sys!$U$248,INDEX(sys!$K$266:$O$286,MATCH(ΔΙΑΦΑΝΕΙΣ!R12&amp;" "&amp;ΔΙΑΦΑΝΕΙΣ!S12,sys!$I$266:$I$286,0),MATCH(ΔΙΑΦΑΝΕΙΣ!T12,sys!$K$265:$O$265,0)),INDEX(sys!$S$266:$W$286,MATCH(ΔΙΑΦΑΝΕΙΣ!R12&amp;" "&amp;ΔΙΑΦΑΝΕΙΣ!S12,sys!$Q$266:$Q$286,0),MATCH(ΔΙΑΦΑΝΕΙΣ!T12,sys!$S$265:$W$265,0)))))</f>
        <v xml:space="preserve"> </v>
      </c>
      <c r="I12" s="421" t="str">
        <f>IF(ΥΠΟΛΟΓΙΣΜΟΙ!B54=0,"",INDEX(sys!$Q$255:$S$259,MATCH(ΔΙΑΦΑΝΕΙΣ!T12,sys!$N$255:$N$259,0),MATCH(ΔΙΑΦΑΝΕΙΣ!S12,sys!$Q$254:$S$254,0)))</f>
        <v/>
      </c>
      <c r="J12" s="421" t="str">
        <f>IF(ΥΠΟΛΟΓΙΣΜΟΙ!B54=0," ",ΥΠΟΛΟΓΙΣΜΟΙ!O54)</f>
        <v xml:space="preserve"> </v>
      </c>
      <c r="K12" s="421" t="str">
        <f>IF(ΥΠΟΛΟΓΙΣΜΟΙ!B54=0," ",ΥΠΟΛΟΓΙΣΜΟΙ!P54)</f>
        <v xml:space="preserve"> </v>
      </c>
      <c r="L12" s="421" t="str">
        <f>IF(ΥΠΟΛΟΓΙΣΜΟΙ!B54=0," ",ΥΠΟΛΟΓΙΣΜΟΙ!Q54)</f>
        <v xml:space="preserve"> </v>
      </c>
      <c r="M12" s="421" t="str">
        <f>IF(ΥΠΟΛΟΓΙΣΜΟΙ!B54=0," ",ΥΠΟΛΟΓΙΣΜΟΙ!R54)</f>
        <v xml:space="preserve"> </v>
      </c>
      <c r="N12" s="421" t="str">
        <f>IF(ΥΠΟΛΟΓΙΣΜΟΙ!B54=0," ",ΥΠΟΛΟΓΙΣΜΟΙ!S54)</f>
        <v xml:space="preserve"> </v>
      </c>
      <c r="O12" s="421" t="str">
        <f>IF(ΥΠΟΛΟΓΙΣΜΟΙ!B54=0," ",ΥΠΟΛΟΓΙΣΜΟΙ!T54)</f>
        <v xml:space="preserve"> </v>
      </c>
      <c r="Q12" s="400" t="s">
        <v>720</v>
      </c>
      <c r="R12" s="400" t="s">
        <v>491</v>
      </c>
      <c r="S12" s="401">
        <v>20</v>
      </c>
      <c r="T12" s="400" t="s">
        <v>513</v>
      </c>
      <c r="U12" s="389" t="s">
        <v>841</v>
      </c>
    </row>
    <row r="13" spans="1:21">
      <c r="A13" s="487">
        <v>10</v>
      </c>
      <c r="B13" s="422" t="str">
        <f>IF(ΥΠΟΛΟΓΙΣΜΟΙ!B55=0," ",ΥΠΟΛΟΓΙΣΜΟΙ!M55)</f>
        <v xml:space="preserve"> </v>
      </c>
      <c r="C13" s="424" t="str">
        <f>IF(ΥΠΟΛΟΓΙΣΜΟΙ!B55=0," ",ΥΠΟΛΟΓΙΣΜΟΙ!B55)</f>
        <v xml:space="preserve"> </v>
      </c>
      <c r="D13" s="425" t="str">
        <f>IF(ΥΠΟΛΟΓΙΣΜΟΙ!H55&gt;0,ΥΠΟΛΟΓΙΣΜΟΙ!H55,"")</f>
        <v/>
      </c>
      <c r="E13" s="425" t="str">
        <f>IF(ΥΠΟΛΟΓΙΣΜΟΙ!B55=0,"",ΥΠΟΛΟΓΙΣΜΟΙ!I55)</f>
        <v/>
      </c>
      <c r="F13" s="421" t="str">
        <f>IF(ΥΠΟΛΟΓΙΣΜΟΙ!B55=0," ",ΥΠΟΛΟΓΙΣΜΟΙ!G55)</f>
        <v xml:space="preserve"> </v>
      </c>
      <c r="G13" s="423" t="str">
        <f>IF(ΥΠΟΛΟΓΙΣΜΟΙ!B55=0," ",Q13&amp;" "&amp;R13&amp;" "&amp;S13&amp;"%"&amp;" "&amp;T13)</f>
        <v xml:space="preserve"> </v>
      </c>
      <c r="H13" s="420" t="str">
        <f>IF(ΥΠΟΛΟΓΙΣΜΟΙ!B55=0," ",IF(Q13=sys!$U$247,INDEX(sys!$C$266:$G$286,MATCH(ΔΙΑΦΑΝΕΙΣ!R13&amp;" "&amp;ΔΙΑΦΑΝΕΙΣ!S13,sys!$A$266:$A$286,0),MATCH(ΔΙΑΦΑΝΕΙΣ!T13,sys!$C$265:$G$265,0)),IF(Q13=sys!$U$248,INDEX(sys!$K$266:$O$286,MATCH(ΔΙΑΦΑΝΕΙΣ!R13&amp;" "&amp;ΔΙΑΦΑΝΕΙΣ!S13,sys!$I$266:$I$286,0),MATCH(ΔΙΑΦΑΝΕΙΣ!T13,sys!$K$265:$O$265,0)),INDEX(sys!$S$266:$W$286,MATCH(ΔΙΑΦΑΝΕΙΣ!R13&amp;" "&amp;ΔΙΑΦΑΝΕΙΣ!S13,sys!$Q$266:$Q$286,0),MATCH(ΔΙΑΦΑΝΕΙΣ!T13,sys!$S$265:$W$265,0)))))</f>
        <v xml:space="preserve"> </v>
      </c>
      <c r="I13" s="421" t="str">
        <f>IF(ΥΠΟΛΟΓΙΣΜΟΙ!B55=0,"",INDEX(sys!$Q$255:$S$259,MATCH(ΔΙΑΦΑΝΕΙΣ!T13,sys!$N$255:$N$259,0),MATCH(ΔΙΑΦΑΝΕΙΣ!S13,sys!$Q$254:$S$254,0)))</f>
        <v/>
      </c>
      <c r="J13" s="421" t="str">
        <f>IF(ΥΠΟΛΟΓΙΣΜΟΙ!B55=0," ",ΥΠΟΛΟΓΙΣΜΟΙ!O55)</f>
        <v xml:space="preserve"> </v>
      </c>
      <c r="K13" s="421" t="str">
        <f>IF(ΥΠΟΛΟΓΙΣΜΟΙ!B55=0," ",ΥΠΟΛΟΓΙΣΜΟΙ!P55)</f>
        <v xml:space="preserve"> </v>
      </c>
      <c r="L13" s="421" t="str">
        <f>IF(ΥΠΟΛΟΓΙΣΜΟΙ!B55=0," ",ΥΠΟΛΟΓΙΣΜΟΙ!Q55)</f>
        <v xml:space="preserve"> </v>
      </c>
      <c r="M13" s="421" t="str">
        <f>IF(ΥΠΟΛΟΓΙΣΜΟΙ!B55=0," ",ΥΠΟΛΟΓΙΣΜΟΙ!R55)</f>
        <v xml:space="preserve"> </v>
      </c>
      <c r="N13" s="421" t="str">
        <f>IF(ΥΠΟΛΟΓΙΣΜΟΙ!B55=0," ",ΥΠΟΛΟΓΙΣΜΟΙ!S55)</f>
        <v xml:space="preserve"> </v>
      </c>
      <c r="O13" s="421" t="str">
        <f>IF(ΥΠΟΛΟΓΙΣΜΟΙ!B55=0," ",ΥΠΟΛΟΓΙΣΜΟΙ!T55)</f>
        <v xml:space="preserve"> </v>
      </c>
      <c r="Q13" s="400" t="s">
        <v>720</v>
      </c>
      <c r="R13" s="400" t="s">
        <v>491</v>
      </c>
      <c r="S13" s="401">
        <v>20</v>
      </c>
      <c r="T13" s="400" t="s">
        <v>513</v>
      </c>
      <c r="U13" s="389" t="s">
        <v>841</v>
      </c>
    </row>
    <row r="14" spans="1:21">
      <c r="A14" s="487">
        <v>11</v>
      </c>
      <c r="B14" s="422" t="str">
        <f>IF(ΥΠΟΛΟΓΙΣΜΟΙ!B56=0," ",ΥΠΟΛΟΓΙΣΜΟΙ!M56)</f>
        <v xml:space="preserve"> </v>
      </c>
      <c r="C14" s="424" t="str">
        <f>IF(ΥΠΟΛΟΓΙΣΜΟΙ!B56=0," ",ΥΠΟΛΟΓΙΣΜΟΙ!B56)</f>
        <v xml:space="preserve"> </v>
      </c>
      <c r="D14" s="425" t="str">
        <f>IF(ΥΠΟΛΟΓΙΣΜΟΙ!H56&gt;0,ΥΠΟΛΟΓΙΣΜΟΙ!H56,"")</f>
        <v/>
      </c>
      <c r="E14" s="425" t="str">
        <f>IF(ΥΠΟΛΟΓΙΣΜΟΙ!B56=0,"",ΥΠΟΛΟΓΙΣΜΟΙ!I56)</f>
        <v/>
      </c>
      <c r="F14" s="421" t="str">
        <f>IF(ΥΠΟΛΟΓΙΣΜΟΙ!B56=0," ",ΥΠΟΛΟΓΙΣΜΟΙ!G56)</f>
        <v xml:space="preserve"> </v>
      </c>
      <c r="G14" s="423" t="str">
        <f>IF(ΥΠΟΛΟΓΙΣΜΟΙ!B56=0," ",Q14&amp;" "&amp;R14&amp;" "&amp;S14&amp;"%"&amp;" "&amp;T14)</f>
        <v xml:space="preserve"> </v>
      </c>
      <c r="H14" s="420" t="str">
        <f>IF(ΥΠΟΛΟΓΙΣΜΟΙ!B56=0," ",IF(Q14=sys!$U$247,INDEX(sys!$C$266:$G$286,MATCH(ΔΙΑΦΑΝΕΙΣ!R14&amp;" "&amp;ΔΙΑΦΑΝΕΙΣ!S14,sys!$A$266:$A$286,0),MATCH(ΔΙΑΦΑΝΕΙΣ!T14,sys!$C$265:$G$265,0)),IF(Q14=sys!$U$248,INDEX(sys!$K$266:$O$286,MATCH(ΔΙΑΦΑΝΕΙΣ!R14&amp;" "&amp;ΔΙΑΦΑΝΕΙΣ!S14,sys!$I$266:$I$286,0),MATCH(ΔΙΑΦΑΝΕΙΣ!T14,sys!$K$265:$O$265,0)),INDEX(sys!$S$266:$W$286,MATCH(ΔΙΑΦΑΝΕΙΣ!R14&amp;" "&amp;ΔΙΑΦΑΝΕΙΣ!S14,sys!$Q$266:$Q$286,0),MATCH(ΔΙΑΦΑΝΕΙΣ!T14,sys!$S$265:$W$265,0)))))</f>
        <v xml:space="preserve"> </v>
      </c>
      <c r="I14" s="421" t="str">
        <f>IF(ΥΠΟΛΟΓΙΣΜΟΙ!B56=0,"",INDEX(sys!$Q$255:$S$259,MATCH(ΔΙΑΦΑΝΕΙΣ!T14,sys!$N$255:$N$259,0),MATCH(ΔΙΑΦΑΝΕΙΣ!S14,sys!$Q$254:$S$254,0)))</f>
        <v/>
      </c>
      <c r="J14" s="421" t="str">
        <f>IF(ΥΠΟΛΟΓΙΣΜΟΙ!B56=0," ",ΥΠΟΛΟΓΙΣΜΟΙ!O56)</f>
        <v xml:space="preserve"> </v>
      </c>
      <c r="K14" s="421" t="str">
        <f>IF(ΥΠΟΛΟΓΙΣΜΟΙ!B56=0," ",ΥΠΟΛΟΓΙΣΜΟΙ!P56)</f>
        <v xml:space="preserve"> </v>
      </c>
      <c r="L14" s="421" t="str">
        <f>IF(ΥΠΟΛΟΓΙΣΜΟΙ!B56=0," ",ΥΠΟΛΟΓΙΣΜΟΙ!Q56)</f>
        <v xml:space="preserve"> </v>
      </c>
      <c r="M14" s="421" t="str">
        <f>IF(ΥΠΟΛΟΓΙΣΜΟΙ!B56=0," ",ΥΠΟΛΟΓΙΣΜΟΙ!R56)</f>
        <v xml:space="preserve"> </v>
      </c>
      <c r="N14" s="421" t="str">
        <f>IF(ΥΠΟΛΟΓΙΣΜΟΙ!B56=0," ",ΥΠΟΛΟΓΙΣΜΟΙ!S56)</f>
        <v xml:space="preserve"> </v>
      </c>
      <c r="O14" s="421" t="str">
        <f>IF(ΥΠΟΛΟΓΙΣΜΟΙ!B56=0," ",ΥΠΟΛΟΓΙΣΜΟΙ!T56)</f>
        <v xml:space="preserve"> </v>
      </c>
      <c r="Q14" s="400" t="s">
        <v>720</v>
      </c>
      <c r="R14" s="400" t="s">
        <v>491</v>
      </c>
      <c r="S14" s="401">
        <v>20</v>
      </c>
      <c r="T14" s="400" t="s">
        <v>513</v>
      </c>
      <c r="U14" s="389" t="s">
        <v>841</v>
      </c>
    </row>
    <row r="15" spans="1:21">
      <c r="A15" s="487">
        <v>12</v>
      </c>
      <c r="B15" s="422" t="str">
        <f>IF(ΥΠΟΛΟΓΙΣΜΟΙ!B57=0," ",ΥΠΟΛΟΓΙΣΜΟΙ!M57)</f>
        <v xml:space="preserve"> </v>
      </c>
      <c r="C15" s="424" t="str">
        <f>IF(ΥΠΟΛΟΓΙΣΜΟΙ!B57=0," ",ΥΠΟΛΟΓΙΣΜΟΙ!B57)</f>
        <v xml:space="preserve"> </v>
      </c>
      <c r="D15" s="425" t="str">
        <f>IF(ΥΠΟΛΟΓΙΣΜΟΙ!H57&gt;0,ΥΠΟΛΟΓΙΣΜΟΙ!H57,"")</f>
        <v/>
      </c>
      <c r="E15" s="425" t="str">
        <f>IF(ΥΠΟΛΟΓΙΣΜΟΙ!B57=0,"",ΥΠΟΛΟΓΙΣΜΟΙ!I57)</f>
        <v/>
      </c>
      <c r="F15" s="421" t="str">
        <f>IF(ΥΠΟΛΟΓΙΣΜΟΙ!B57=0," ",ΥΠΟΛΟΓΙΣΜΟΙ!G57)</f>
        <v xml:space="preserve"> </v>
      </c>
      <c r="G15" s="423" t="str">
        <f>IF(ΥΠΟΛΟΓΙΣΜΟΙ!B57=0," ",Q15&amp;" "&amp;R15&amp;" "&amp;S15&amp;"%"&amp;" "&amp;T15)</f>
        <v xml:space="preserve"> </v>
      </c>
      <c r="H15" s="420" t="str">
        <f>IF(ΥΠΟΛΟΓΙΣΜΟΙ!B57=0," ",IF(Q15=sys!$U$247,INDEX(sys!$C$266:$G$286,MATCH(ΔΙΑΦΑΝΕΙΣ!R15&amp;" "&amp;ΔΙΑΦΑΝΕΙΣ!S15,sys!$A$266:$A$286,0),MATCH(ΔΙΑΦΑΝΕΙΣ!T15,sys!$C$265:$G$265,0)),IF(Q15=sys!$U$248,INDEX(sys!$K$266:$O$286,MATCH(ΔΙΑΦΑΝΕΙΣ!R15&amp;" "&amp;ΔΙΑΦΑΝΕΙΣ!S15,sys!$I$266:$I$286,0),MATCH(ΔΙΑΦΑΝΕΙΣ!T15,sys!$K$265:$O$265,0)),INDEX(sys!$S$266:$W$286,MATCH(ΔΙΑΦΑΝΕΙΣ!R15&amp;" "&amp;ΔΙΑΦΑΝΕΙΣ!S15,sys!$Q$266:$Q$286,0),MATCH(ΔΙΑΦΑΝΕΙΣ!T15,sys!$S$265:$W$265,0)))))</f>
        <v xml:space="preserve"> </v>
      </c>
      <c r="I15" s="421" t="str">
        <f>IF(ΥΠΟΛΟΓΙΣΜΟΙ!B57=0,"",INDEX(sys!$Q$255:$S$259,MATCH(ΔΙΑΦΑΝΕΙΣ!T15,sys!$N$255:$N$259,0),MATCH(ΔΙΑΦΑΝΕΙΣ!S15,sys!$Q$254:$S$254,0)))</f>
        <v/>
      </c>
      <c r="J15" s="421" t="str">
        <f>IF(ΥΠΟΛΟΓΙΣΜΟΙ!B57=0," ",ΥΠΟΛΟΓΙΣΜΟΙ!O57)</f>
        <v xml:space="preserve"> </v>
      </c>
      <c r="K15" s="421" t="str">
        <f>IF(ΥΠΟΛΟΓΙΣΜΟΙ!B57=0," ",ΥΠΟΛΟΓΙΣΜΟΙ!P57)</f>
        <v xml:space="preserve"> </v>
      </c>
      <c r="L15" s="421" t="str">
        <f>IF(ΥΠΟΛΟΓΙΣΜΟΙ!B57=0," ",ΥΠΟΛΟΓΙΣΜΟΙ!Q57)</f>
        <v xml:space="preserve"> </v>
      </c>
      <c r="M15" s="421" t="str">
        <f>IF(ΥΠΟΛΟΓΙΣΜΟΙ!B57=0," ",ΥΠΟΛΟΓΙΣΜΟΙ!R57)</f>
        <v xml:space="preserve"> </v>
      </c>
      <c r="N15" s="421" t="str">
        <f>IF(ΥΠΟΛΟΓΙΣΜΟΙ!B57=0," ",ΥΠΟΛΟΓΙΣΜΟΙ!S57)</f>
        <v xml:space="preserve"> </v>
      </c>
      <c r="O15" s="421" t="str">
        <f>IF(ΥΠΟΛΟΓΙΣΜΟΙ!B57=0," ",ΥΠΟΛΟΓΙΣΜΟΙ!T57)</f>
        <v xml:space="preserve"> </v>
      </c>
      <c r="Q15" s="400" t="s">
        <v>720</v>
      </c>
      <c r="R15" s="400" t="s">
        <v>491</v>
      </c>
      <c r="S15" s="401">
        <v>20</v>
      </c>
      <c r="T15" s="400" t="s">
        <v>513</v>
      </c>
      <c r="U15" s="389" t="s">
        <v>841</v>
      </c>
    </row>
    <row r="16" spans="1:21">
      <c r="A16" s="487">
        <v>13</v>
      </c>
      <c r="B16" s="422" t="str">
        <f>IF(ΥΠΟΛΟΓΙΣΜΟΙ!B58=0," ",ΥΠΟΛΟΓΙΣΜΟΙ!M58)</f>
        <v xml:space="preserve"> </v>
      </c>
      <c r="C16" s="424" t="str">
        <f>IF(ΥΠΟΛΟΓΙΣΜΟΙ!B58=0," ",ΥΠΟΛΟΓΙΣΜΟΙ!B58)</f>
        <v xml:space="preserve"> </v>
      </c>
      <c r="D16" s="425" t="str">
        <f>IF(ΥΠΟΛΟΓΙΣΜΟΙ!H58&gt;0,ΥΠΟΛΟΓΙΣΜΟΙ!H58,"")</f>
        <v/>
      </c>
      <c r="E16" s="425" t="str">
        <f>IF(ΥΠΟΛΟΓΙΣΜΟΙ!B58=0,"",ΥΠΟΛΟΓΙΣΜΟΙ!I58)</f>
        <v/>
      </c>
      <c r="F16" s="421" t="str">
        <f>IF(ΥΠΟΛΟΓΙΣΜΟΙ!B58=0," ",ΥΠΟΛΟΓΙΣΜΟΙ!G58)</f>
        <v xml:space="preserve"> </v>
      </c>
      <c r="G16" s="423" t="str">
        <f>IF(ΥΠΟΛΟΓΙΣΜΟΙ!B58=0," ",Q16&amp;" "&amp;R16&amp;" "&amp;S16&amp;"%"&amp;" "&amp;T16)</f>
        <v xml:space="preserve"> </v>
      </c>
      <c r="H16" s="420" t="str">
        <f>IF(ΥΠΟΛΟΓΙΣΜΟΙ!B58=0," ",IF(Q16=sys!$U$247,INDEX(sys!$C$266:$G$286,MATCH(ΔΙΑΦΑΝΕΙΣ!R16&amp;" "&amp;ΔΙΑΦΑΝΕΙΣ!S16,sys!$A$266:$A$286,0),MATCH(ΔΙΑΦΑΝΕΙΣ!T16,sys!$C$265:$G$265,0)),IF(Q16=sys!$U$248,INDEX(sys!$K$266:$O$286,MATCH(ΔΙΑΦΑΝΕΙΣ!R16&amp;" "&amp;ΔΙΑΦΑΝΕΙΣ!S16,sys!$I$266:$I$286,0),MATCH(ΔΙΑΦΑΝΕΙΣ!T16,sys!$K$265:$O$265,0)),INDEX(sys!$S$266:$W$286,MATCH(ΔΙΑΦΑΝΕΙΣ!R16&amp;" "&amp;ΔΙΑΦΑΝΕΙΣ!S16,sys!$Q$266:$Q$286,0),MATCH(ΔΙΑΦΑΝΕΙΣ!T16,sys!$S$265:$W$265,0)))))</f>
        <v xml:space="preserve"> </v>
      </c>
      <c r="I16" s="421" t="str">
        <f>IF(ΥΠΟΛΟΓΙΣΜΟΙ!B58=0,"",INDEX(sys!$Q$255:$S$259,MATCH(ΔΙΑΦΑΝΕΙΣ!T16,sys!$N$255:$N$259,0),MATCH(ΔΙΑΦΑΝΕΙΣ!S16,sys!$Q$254:$S$254,0)))</f>
        <v/>
      </c>
      <c r="J16" s="421" t="str">
        <f>IF(ΥΠΟΛΟΓΙΣΜΟΙ!B58=0," ",ΥΠΟΛΟΓΙΣΜΟΙ!O58)</f>
        <v xml:space="preserve"> </v>
      </c>
      <c r="K16" s="421" t="str">
        <f>IF(ΥΠΟΛΟΓΙΣΜΟΙ!B58=0," ",ΥΠΟΛΟΓΙΣΜΟΙ!P58)</f>
        <v xml:space="preserve"> </v>
      </c>
      <c r="L16" s="421" t="str">
        <f>IF(ΥΠΟΛΟΓΙΣΜΟΙ!B58=0," ",ΥΠΟΛΟΓΙΣΜΟΙ!Q58)</f>
        <v xml:space="preserve"> </v>
      </c>
      <c r="M16" s="421" t="str">
        <f>IF(ΥΠΟΛΟΓΙΣΜΟΙ!B58=0," ",ΥΠΟΛΟΓΙΣΜΟΙ!R58)</f>
        <v xml:space="preserve"> </v>
      </c>
      <c r="N16" s="421" t="str">
        <f>IF(ΥΠΟΛΟΓΙΣΜΟΙ!B58=0," ",ΥΠΟΛΟΓΙΣΜΟΙ!S58)</f>
        <v xml:space="preserve"> </v>
      </c>
      <c r="O16" s="421" t="str">
        <f>IF(ΥΠΟΛΟΓΙΣΜΟΙ!B58=0," ",ΥΠΟΛΟΓΙΣΜΟΙ!T58)</f>
        <v xml:space="preserve"> </v>
      </c>
      <c r="Q16" s="400" t="s">
        <v>720</v>
      </c>
      <c r="R16" s="400" t="s">
        <v>491</v>
      </c>
      <c r="S16" s="401">
        <v>20</v>
      </c>
      <c r="T16" s="400" t="s">
        <v>513</v>
      </c>
      <c r="U16" s="389" t="s">
        <v>841</v>
      </c>
    </row>
    <row r="17" spans="1:21">
      <c r="A17" s="487">
        <v>14</v>
      </c>
      <c r="B17" s="422" t="str">
        <f>IF(ΥΠΟΛΟΓΙΣΜΟΙ!B59=0," ",ΥΠΟΛΟΓΙΣΜΟΙ!M59)</f>
        <v xml:space="preserve"> </v>
      </c>
      <c r="C17" s="424" t="str">
        <f>IF(ΥΠΟΛΟΓΙΣΜΟΙ!B59=0," ",ΥΠΟΛΟΓΙΣΜΟΙ!B59)</f>
        <v xml:space="preserve"> </v>
      </c>
      <c r="D17" s="425" t="str">
        <f>IF(ΥΠΟΛΟΓΙΣΜΟΙ!H59&gt;0,ΥΠΟΛΟΓΙΣΜΟΙ!H59,"")</f>
        <v/>
      </c>
      <c r="E17" s="425" t="str">
        <f>IF(ΥΠΟΛΟΓΙΣΜΟΙ!B59=0,"",ΥΠΟΛΟΓΙΣΜΟΙ!I59)</f>
        <v/>
      </c>
      <c r="F17" s="421" t="str">
        <f>IF(ΥΠΟΛΟΓΙΣΜΟΙ!B59=0," ",ΥΠΟΛΟΓΙΣΜΟΙ!G59)</f>
        <v xml:space="preserve"> </v>
      </c>
      <c r="G17" s="423" t="str">
        <f>IF(ΥΠΟΛΟΓΙΣΜΟΙ!B59=0," ",Q17&amp;" "&amp;R17&amp;" "&amp;S17&amp;"%"&amp;" "&amp;T17)</f>
        <v xml:space="preserve"> </v>
      </c>
      <c r="H17" s="420" t="str">
        <f>IF(ΥΠΟΛΟΓΙΣΜΟΙ!B59=0," ",IF(Q17=sys!$U$247,INDEX(sys!$C$266:$G$286,MATCH(ΔΙΑΦΑΝΕΙΣ!R17&amp;" "&amp;ΔΙΑΦΑΝΕΙΣ!S17,sys!$A$266:$A$286,0),MATCH(ΔΙΑΦΑΝΕΙΣ!T17,sys!$C$265:$G$265,0)),IF(Q17=sys!$U$248,INDEX(sys!$K$266:$O$286,MATCH(ΔΙΑΦΑΝΕΙΣ!R17&amp;" "&amp;ΔΙΑΦΑΝΕΙΣ!S17,sys!$I$266:$I$286,0),MATCH(ΔΙΑΦΑΝΕΙΣ!T17,sys!$K$265:$O$265,0)),INDEX(sys!$S$266:$W$286,MATCH(ΔΙΑΦΑΝΕΙΣ!R17&amp;" "&amp;ΔΙΑΦΑΝΕΙΣ!S17,sys!$Q$266:$Q$286,0),MATCH(ΔΙΑΦΑΝΕΙΣ!T17,sys!$S$265:$W$265,0)))))</f>
        <v xml:space="preserve"> </v>
      </c>
      <c r="I17" s="421" t="str">
        <f>IF(ΥΠΟΛΟΓΙΣΜΟΙ!B59=0,"",INDEX(sys!$Q$255:$S$259,MATCH(ΔΙΑΦΑΝΕΙΣ!T17,sys!$N$255:$N$259,0),MATCH(ΔΙΑΦΑΝΕΙΣ!S17,sys!$Q$254:$S$254,0)))</f>
        <v/>
      </c>
      <c r="J17" s="421" t="str">
        <f>IF(ΥΠΟΛΟΓΙΣΜΟΙ!B59=0," ",ΥΠΟΛΟΓΙΣΜΟΙ!O59)</f>
        <v xml:space="preserve"> </v>
      </c>
      <c r="K17" s="421" t="str">
        <f>IF(ΥΠΟΛΟΓΙΣΜΟΙ!B59=0," ",ΥΠΟΛΟΓΙΣΜΟΙ!P59)</f>
        <v xml:space="preserve"> </v>
      </c>
      <c r="L17" s="421" t="str">
        <f>IF(ΥΠΟΛΟΓΙΣΜΟΙ!B59=0," ",ΥΠΟΛΟΓΙΣΜΟΙ!Q59)</f>
        <v xml:space="preserve"> </v>
      </c>
      <c r="M17" s="421" t="str">
        <f>IF(ΥΠΟΛΟΓΙΣΜΟΙ!B59=0," ",ΥΠΟΛΟΓΙΣΜΟΙ!R59)</f>
        <v xml:space="preserve"> </v>
      </c>
      <c r="N17" s="421" t="str">
        <f>IF(ΥΠΟΛΟΓΙΣΜΟΙ!B59=0," ",ΥΠΟΛΟΓΙΣΜΟΙ!S59)</f>
        <v xml:space="preserve"> </v>
      </c>
      <c r="O17" s="421" t="str">
        <f>IF(ΥΠΟΛΟΓΙΣΜΟΙ!B59=0," ",ΥΠΟΛΟΓΙΣΜΟΙ!T59)</f>
        <v xml:space="preserve"> </v>
      </c>
      <c r="Q17" s="400" t="s">
        <v>720</v>
      </c>
      <c r="R17" s="400" t="s">
        <v>491</v>
      </c>
      <c r="S17" s="401">
        <v>20</v>
      </c>
      <c r="T17" s="400" t="s">
        <v>513</v>
      </c>
      <c r="U17" s="389" t="s">
        <v>841</v>
      </c>
    </row>
    <row r="18" spans="1:21">
      <c r="A18" s="487">
        <v>15</v>
      </c>
      <c r="B18" s="422" t="str">
        <f>IF(ΥΠΟΛΟΓΙΣΜΟΙ!B60=0," ",ΥΠΟΛΟΓΙΣΜΟΙ!M60)</f>
        <v xml:space="preserve"> </v>
      </c>
      <c r="C18" s="424" t="str">
        <f>IF(ΥΠΟΛΟΓΙΣΜΟΙ!B60=0," ",ΥΠΟΛΟΓΙΣΜΟΙ!B60)</f>
        <v xml:space="preserve"> </v>
      </c>
      <c r="D18" s="425" t="str">
        <f>IF(ΥΠΟΛΟΓΙΣΜΟΙ!H60&gt;0,ΥΠΟΛΟΓΙΣΜΟΙ!H60,"")</f>
        <v/>
      </c>
      <c r="E18" s="425" t="str">
        <f>IF(ΥΠΟΛΟΓΙΣΜΟΙ!B60=0,"",ΥΠΟΛΟΓΙΣΜΟΙ!I60)</f>
        <v/>
      </c>
      <c r="F18" s="421" t="str">
        <f>IF(ΥΠΟΛΟΓΙΣΜΟΙ!B60=0," ",ΥΠΟΛΟΓΙΣΜΟΙ!G60)</f>
        <v xml:space="preserve"> </v>
      </c>
      <c r="G18" s="423" t="str">
        <f>IF(ΥΠΟΛΟΓΙΣΜΟΙ!B60=0," ",Q18&amp;" "&amp;R18&amp;" "&amp;S18&amp;"%"&amp;" "&amp;T18)</f>
        <v xml:space="preserve"> </v>
      </c>
      <c r="H18" s="420" t="str">
        <f>IF(ΥΠΟΛΟΓΙΣΜΟΙ!B60=0," ",IF(Q18=sys!$U$247,INDEX(sys!$C$266:$G$286,MATCH(ΔΙΑΦΑΝΕΙΣ!R18&amp;" "&amp;ΔΙΑΦΑΝΕΙΣ!S18,sys!$A$266:$A$286,0),MATCH(ΔΙΑΦΑΝΕΙΣ!T18,sys!$C$265:$G$265,0)),IF(Q18=sys!$U$248,INDEX(sys!$K$266:$O$286,MATCH(ΔΙΑΦΑΝΕΙΣ!R18&amp;" "&amp;ΔΙΑΦΑΝΕΙΣ!S18,sys!$I$266:$I$286,0),MATCH(ΔΙΑΦΑΝΕΙΣ!T18,sys!$K$265:$O$265,0)),INDEX(sys!$S$266:$W$286,MATCH(ΔΙΑΦΑΝΕΙΣ!R18&amp;" "&amp;ΔΙΑΦΑΝΕΙΣ!S18,sys!$Q$266:$Q$286,0),MATCH(ΔΙΑΦΑΝΕΙΣ!T18,sys!$S$265:$W$265,0)))))</f>
        <v xml:space="preserve"> </v>
      </c>
      <c r="I18" s="421" t="str">
        <f>IF(ΥΠΟΛΟΓΙΣΜΟΙ!B60=0,"",INDEX(sys!$Q$255:$S$259,MATCH(ΔΙΑΦΑΝΕΙΣ!T18,sys!$N$255:$N$259,0),MATCH(ΔΙΑΦΑΝΕΙΣ!S18,sys!$Q$254:$S$254,0)))</f>
        <v/>
      </c>
      <c r="J18" s="421" t="str">
        <f>IF(ΥΠΟΛΟΓΙΣΜΟΙ!B60=0," ",ΥΠΟΛΟΓΙΣΜΟΙ!O60)</f>
        <v xml:space="preserve"> </v>
      </c>
      <c r="K18" s="421" t="str">
        <f>IF(ΥΠΟΛΟΓΙΣΜΟΙ!B60=0," ",ΥΠΟΛΟΓΙΣΜΟΙ!P60)</f>
        <v xml:space="preserve"> </v>
      </c>
      <c r="L18" s="421" t="str">
        <f>IF(ΥΠΟΛΟΓΙΣΜΟΙ!B60=0," ",ΥΠΟΛΟΓΙΣΜΟΙ!Q60)</f>
        <v xml:space="preserve"> </v>
      </c>
      <c r="M18" s="421" t="str">
        <f>IF(ΥΠΟΛΟΓΙΣΜΟΙ!B60=0," ",ΥΠΟΛΟΓΙΣΜΟΙ!R60)</f>
        <v xml:space="preserve"> </v>
      </c>
      <c r="N18" s="421" t="str">
        <f>IF(ΥΠΟΛΟΓΙΣΜΟΙ!B60=0," ",ΥΠΟΛΟΓΙΣΜΟΙ!S60)</f>
        <v xml:space="preserve"> </v>
      </c>
      <c r="O18" s="421" t="str">
        <f>IF(ΥΠΟΛΟΓΙΣΜΟΙ!B60=0," ",ΥΠΟΛΟΓΙΣΜΟΙ!T60)</f>
        <v xml:space="preserve"> </v>
      </c>
      <c r="Q18" s="400" t="s">
        <v>720</v>
      </c>
      <c r="R18" s="400" t="s">
        <v>491</v>
      </c>
      <c r="S18" s="401">
        <v>20</v>
      </c>
      <c r="T18" s="400" t="s">
        <v>513</v>
      </c>
      <c r="U18" s="389" t="s">
        <v>841</v>
      </c>
    </row>
    <row r="19" spans="1:21">
      <c r="A19" s="487">
        <v>16</v>
      </c>
      <c r="B19" s="422" t="str">
        <f>IF(ΥΠΟΛΟΓΙΣΜΟΙ!B61=0," ",ΥΠΟΛΟΓΙΣΜΟΙ!M61)</f>
        <v xml:space="preserve"> </v>
      </c>
      <c r="C19" s="424" t="str">
        <f>IF(ΥΠΟΛΟΓΙΣΜΟΙ!B61=0," ",ΥΠΟΛΟΓΙΣΜΟΙ!B61)</f>
        <v xml:space="preserve"> </v>
      </c>
      <c r="D19" s="425" t="str">
        <f>IF(ΥΠΟΛΟΓΙΣΜΟΙ!H61&gt;0,ΥΠΟΛΟΓΙΣΜΟΙ!H61,"")</f>
        <v/>
      </c>
      <c r="E19" s="425" t="str">
        <f>IF(ΥΠΟΛΟΓΙΣΜΟΙ!B61=0,"",ΥΠΟΛΟΓΙΣΜΟΙ!I61)</f>
        <v/>
      </c>
      <c r="F19" s="421" t="str">
        <f>IF(ΥΠΟΛΟΓΙΣΜΟΙ!B61=0," ",ΥΠΟΛΟΓΙΣΜΟΙ!G61)</f>
        <v xml:space="preserve"> </v>
      </c>
      <c r="G19" s="423" t="str">
        <f>IF(ΥΠΟΛΟΓΙΣΜΟΙ!B61=0," ",Q19&amp;" "&amp;R19&amp;" "&amp;S19&amp;"%"&amp;" "&amp;T19)</f>
        <v xml:space="preserve"> </v>
      </c>
      <c r="H19" s="420" t="str">
        <f>IF(ΥΠΟΛΟΓΙΣΜΟΙ!B61=0," ",IF(Q19=sys!$U$247,INDEX(sys!$C$266:$G$286,MATCH(ΔΙΑΦΑΝΕΙΣ!R19&amp;" "&amp;ΔΙΑΦΑΝΕΙΣ!S19,sys!$A$266:$A$286,0),MATCH(ΔΙΑΦΑΝΕΙΣ!T19,sys!$C$265:$G$265,0)),IF(Q19=sys!$U$248,INDEX(sys!$K$266:$O$286,MATCH(ΔΙΑΦΑΝΕΙΣ!R19&amp;" "&amp;ΔΙΑΦΑΝΕΙΣ!S19,sys!$I$266:$I$286,0),MATCH(ΔΙΑΦΑΝΕΙΣ!T19,sys!$K$265:$O$265,0)),INDEX(sys!$S$266:$W$286,MATCH(ΔΙΑΦΑΝΕΙΣ!R19&amp;" "&amp;ΔΙΑΦΑΝΕΙΣ!S19,sys!$Q$266:$Q$286,0),MATCH(ΔΙΑΦΑΝΕΙΣ!T19,sys!$S$265:$W$265,0)))))</f>
        <v xml:space="preserve"> </v>
      </c>
      <c r="I19" s="421" t="str">
        <f>IF(ΥΠΟΛΟΓΙΣΜΟΙ!B61=0,"",INDEX(sys!$Q$255:$S$259,MATCH(ΔΙΑΦΑΝΕΙΣ!T19,sys!$N$255:$N$259,0),MATCH(ΔΙΑΦΑΝΕΙΣ!S19,sys!$Q$254:$S$254,0)))</f>
        <v/>
      </c>
      <c r="J19" s="421" t="str">
        <f>IF(ΥΠΟΛΟΓΙΣΜΟΙ!B61=0," ",ΥΠΟΛΟΓΙΣΜΟΙ!O61)</f>
        <v xml:space="preserve"> </v>
      </c>
      <c r="K19" s="421" t="str">
        <f>IF(ΥΠΟΛΟΓΙΣΜΟΙ!B61=0," ",ΥΠΟΛΟΓΙΣΜΟΙ!P61)</f>
        <v xml:space="preserve"> </v>
      </c>
      <c r="L19" s="421" t="str">
        <f>IF(ΥΠΟΛΟΓΙΣΜΟΙ!B61=0," ",ΥΠΟΛΟΓΙΣΜΟΙ!Q61)</f>
        <v xml:space="preserve"> </v>
      </c>
      <c r="M19" s="421" t="str">
        <f>IF(ΥΠΟΛΟΓΙΣΜΟΙ!B61=0," ",ΥΠΟΛΟΓΙΣΜΟΙ!R61)</f>
        <v xml:space="preserve"> </v>
      </c>
      <c r="N19" s="421" t="str">
        <f>IF(ΥΠΟΛΟΓΙΣΜΟΙ!B61=0," ",ΥΠΟΛΟΓΙΣΜΟΙ!S61)</f>
        <v xml:space="preserve"> </v>
      </c>
      <c r="O19" s="421" t="str">
        <f>IF(ΥΠΟΛΟΓΙΣΜΟΙ!B61=0," ",ΥΠΟΛΟΓΙΣΜΟΙ!T61)</f>
        <v xml:space="preserve"> </v>
      </c>
      <c r="Q19" s="400" t="s">
        <v>720</v>
      </c>
      <c r="R19" s="400" t="s">
        <v>491</v>
      </c>
      <c r="S19" s="401">
        <v>20</v>
      </c>
      <c r="T19" s="400" t="s">
        <v>513</v>
      </c>
      <c r="U19" s="389" t="s">
        <v>841</v>
      </c>
    </row>
    <row r="20" spans="1:21">
      <c r="A20" s="487">
        <v>17</v>
      </c>
      <c r="B20" s="422" t="str">
        <f>IF(ΥΠΟΛΟΓΙΣΜΟΙ!B62=0," ",ΥΠΟΛΟΓΙΣΜΟΙ!M62)</f>
        <v xml:space="preserve"> </v>
      </c>
      <c r="C20" s="424" t="str">
        <f>IF(ΥΠΟΛΟΓΙΣΜΟΙ!B62=0," ",ΥΠΟΛΟΓΙΣΜΟΙ!B62)</f>
        <v xml:space="preserve"> </v>
      </c>
      <c r="D20" s="425" t="str">
        <f>IF(ΥΠΟΛΟΓΙΣΜΟΙ!H62&gt;0,ΥΠΟΛΟΓΙΣΜΟΙ!H62,"")</f>
        <v/>
      </c>
      <c r="E20" s="425" t="str">
        <f>IF(ΥΠΟΛΟΓΙΣΜΟΙ!B62=0,"",ΥΠΟΛΟΓΙΣΜΟΙ!I62)</f>
        <v/>
      </c>
      <c r="F20" s="421" t="str">
        <f>IF(ΥΠΟΛΟΓΙΣΜΟΙ!B62=0," ",ΥΠΟΛΟΓΙΣΜΟΙ!G62)</f>
        <v xml:space="preserve"> </v>
      </c>
      <c r="G20" s="423" t="str">
        <f>IF(ΥΠΟΛΟΓΙΣΜΟΙ!B62=0," ",Q20&amp;" "&amp;R20&amp;" "&amp;S20&amp;"%"&amp;" "&amp;T20)</f>
        <v xml:space="preserve"> </v>
      </c>
      <c r="H20" s="420" t="str">
        <f>IF(ΥΠΟΛΟΓΙΣΜΟΙ!B62=0," ",IF(Q20=sys!$U$247,INDEX(sys!$C$266:$G$286,MATCH(ΔΙΑΦΑΝΕΙΣ!R20&amp;" "&amp;ΔΙΑΦΑΝΕΙΣ!S20,sys!$A$266:$A$286,0),MATCH(ΔΙΑΦΑΝΕΙΣ!T20,sys!$C$265:$G$265,0)),IF(Q20=sys!$U$248,INDEX(sys!$K$266:$O$286,MATCH(ΔΙΑΦΑΝΕΙΣ!R20&amp;" "&amp;ΔΙΑΦΑΝΕΙΣ!S20,sys!$I$266:$I$286,0),MATCH(ΔΙΑΦΑΝΕΙΣ!T20,sys!$K$265:$O$265,0)),INDEX(sys!$S$266:$W$286,MATCH(ΔΙΑΦΑΝΕΙΣ!R20&amp;" "&amp;ΔΙΑΦΑΝΕΙΣ!S20,sys!$Q$266:$Q$286,0),MATCH(ΔΙΑΦΑΝΕΙΣ!T20,sys!$S$265:$W$265,0)))))</f>
        <v xml:space="preserve"> </v>
      </c>
      <c r="I20" s="421" t="str">
        <f>IF(ΥΠΟΛΟΓΙΣΜΟΙ!B62=0,"",INDEX(sys!$Q$255:$S$259,MATCH(ΔΙΑΦΑΝΕΙΣ!T20,sys!$N$255:$N$259,0),MATCH(ΔΙΑΦΑΝΕΙΣ!S20,sys!$Q$254:$S$254,0)))</f>
        <v/>
      </c>
      <c r="J20" s="421" t="str">
        <f>IF(ΥΠΟΛΟΓΙΣΜΟΙ!B62=0," ",ΥΠΟΛΟΓΙΣΜΟΙ!O62)</f>
        <v xml:space="preserve"> </v>
      </c>
      <c r="K20" s="421" t="str">
        <f>IF(ΥΠΟΛΟΓΙΣΜΟΙ!B62=0," ",ΥΠΟΛΟΓΙΣΜΟΙ!P62)</f>
        <v xml:space="preserve"> </v>
      </c>
      <c r="L20" s="421" t="str">
        <f>IF(ΥΠΟΛΟΓΙΣΜΟΙ!B62=0," ",ΥΠΟΛΟΓΙΣΜΟΙ!Q62)</f>
        <v xml:space="preserve"> </v>
      </c>
      <c r="M20" s="421" t="str">
        <f>IF(ΥΠΟΛΟΓΙΣΜΟΙ!B62=0," ",ΥΠΟΛΟΓΙΣΜΟΙ!R62)</f>
        <v xml:space="preserve"> </v>
      </c>
      <c r="N20" s="421" t="str">
        <f>IF(ΥΠΟΛΟΓΙΣΜΟΙ!B62=0," ",ΥΠΟΛΟΓΙΣΜΟΙ!S62)</f>
        <v xml:space="preserve"> </v>
      </c>
      <c r="O20" s="421" t="str">
        <f>IF(ΥΠΟΛΟΓΙΣΜΟΙ!B62=0," ",ΥΠΟΛΟΓΙΣΜΟΙ!T62)</f>
        <v xml:space="preserve"> </v>
      </c>
      <c r="Q20" s="400" t="s">
        <v>720</v>
      </c>
      <c r="R20" s="400" t="s">
        <v>491</v>
      </c>
      <c r="S20" s="401">
        <v>20</v>
      </c>
      <c r="T20" s="400" t="s">
        <v>513</v>
      </c>
      <c r="U20" s="389" t="s">
        <v>841</v>
      </c>
    </row>
    <row r="21" spans="1:21">
      <c r="B21" s="940" t="s">
        <v>764</v>
      </c>
      <c r="C21" s="940"/>
      <c r="D21" s="940"/>
      <c r="E21" s="940"/>
      <c r="F21" s="940"/>
      <c r="G21" s="940"/>
      <c r="H21" s="940"/>
      <c r="I21" s="940"/>
    </row>
    <row r="22" spans="1:21">
      <c r="J22" s="939" t="s">
        <v>762</v>
      </c>
      <c r="K22" s="939"/>
      <c r="L22" s="939"/>
      <c r="M22" s="939"/>
      <c r="N22" s="939"/>
      <c r="O22" s="939"/>
    </row>
    <row r="23" spans="1:21" ht="14.4" customHeight="1">
      <c r="B23" s="923" t="s">
        <v>765</v>
      </c>
      <c r="C23" s="923"/>
      <c r="D23" s="923"/>
      <c r="E23" s="923"/>
      <c r="F23" s="923"/>
      <c r="G23" s="923"/>
      <c r="I23" s="936" t="s">
        <v>763</v>
      </c>
      <c r="J23" s="937"/>
      <c r="K23" s="937"/>
      <c r="L23" s="938"/>
      <c r="M23" s="426">
        <v>0.2</v>
      </c>
      <c r="N23" s="426">
        <v>0.3</v>
      </c>
      <c r="O23" s="426">
        <v>0.4</v>
      </c>
    </row>
    <row r="24" spans="1:21">
      <c r="B24" s="923"/>
      <c r="C24" s="923"/>
      <c r="D24" s="923"/>
      <c r="E24" s="923"/>
      <c r="F24" s="923"/>
      <c r="G24" s="923"/>
      <c r="I24" s="934" t="s">
        <v>750</v>
      </c>
      <c r="J24" s="934"/>
      <c r="K24" s="934"/>
      <c r="L24" s="934"/>
      <c r="M24" s="427">
        <v>0.54</v>
      </c>
      <c r="N24" s="427">
        <v>0.48</v>
      </c>
      <c r="O24" s="427">
        <v>0.41</v>
      </c>
    </row>
    <row r="25" spans="1:21" ht="28.8" customHeight="1">
      <c r="B25" s="923"/>
      <c r="C25" s="923"/>
      <c r="D25" s="923"/>
      <c r="E25" s="923"/>
      <c r="F25" s="923"/>
      <c r="G25" s="923"/>
      <c r="I25" s="935" t="s">
        <v>751</v>
      </c>
      <c r="J25" s="935"/>
      <c r="K25" s="935"/>
      <c r="L25" s="935"/>
      <c r="M25" s="427">
        <v>0.36</v>
      </c>
      <c r="N25" s="428">
        <v>0.32</v>
      </c>
      <c r="O25" s="427">
        <v>0.27</v>
      </c>
    </row>
    <row r="26" spans="1:21">
      <c r="B26" s="923"/>
      <c r="C26" s="923"/>
      <c r="D26" s="923"/>
      <c r="E26" s="923"/>
      <c r="F26" s="923"/>
      <c r="G26" s="923"/>
      <c r="I26" s="928" t="s">
        <v>760</v>
      </c>
      <c r="J26" s="929"/>
      <c r="K26" s="929"/>
      <c r="L26" s="929"/>
      <c r="M26" s="929"/>
      <c r="N26" s="929"/>
      <c r="O26" s="930"/>
      <c r="T26" s="431" t="str">
        <f>ΥΠΟΛΟΓΙΣΜΟΙ!$Q$5</f>
        <v>Energy Cert. Adapt  ver.5.00</v>
      </c>
    </row>
    <row r="27" spans="1:21">
      <c r="B27" s="500"/>
      <c r="C27" s="500"/>
      <c r="D27" s="500"/>
      <c r="E27" s="500"/>
      <c r="F27" s="500"/>
      <c r="G27" s="500"/>
      <c r="I27" s="931" t="s">
        <v>761</v>
      </c>
      <c r="J27" s="932"/>
      <c r="K27" s="932"/>
      <c r="L27" s="932"/>
      <c r="M27" s="932"/>
      <c r="N27" s="932"/>
      <c r="O27" s="933"/>
      <c r="T27" s="431" t="str">
        <f>ΥΠΟΛΟΓΙΣΜΟΙ!$Q$6</f>
        <v>www.gzafeirakis.gr | ©2019</v>
      </c>
    </row>
    <row r="28" spans="1:21">
      <c r="B28" s="500"/>
      <c r="C28" s="500"/>
      <c r="D28" s="500"/>
      <c r="E28" s="500"/>
      <c r="F28" s="500"/>
      <c r="G28" s="500"/>
      <c r="I28" s="924" t="s">
        <v>759</v>
      </c>
      <c r="J28" s="925"/>
      <c r="K28" s="925"/>
      <c r="L28" s="925"/>
      <c r="M28" s="925"/>
      <c r="N28" s="925"/>
      <c r="O28" s="926"/>
      <c r="T28" s="432" t="str">
        <f>ΥΠΟΛΟΓΙΣΜΟΙ!$Q$7</f>
        <v>σύμφωνα με την TOTEE-20701-1 / 2017</v>
      </c>
    </row>
  </sheetData>
  <mergeCells count="11">
    <mergeCell ref="I28:O28"/>
    <mergeCell ref="B1:O1"/>
    <mergeCell ref="Q2:T2"/>
    <mergeCell ref="I26:O26"/>
    <mergeCell ref="I27:O27"/>
    <mergeCell ref="B23:G26"/>
    <mergeCell ref="I24:L24"/>
    <mergeCell ref="I25:L25"/>
    <mergeCell ref="I23:L23"/>
    <mergeCell ref="J22:O22"/>
    <mergeCell ref="B21:I21"/>
  </mergeCells>
  <dataValidations count="5">
    <dataValidation operator="equal" sqref="B4:B20"/>
    <dataValidation type="list" allowBlank="1" showInputMessage="1" showErrorMessage="1" sqref="Q4:Q20">
      <formula1>sys!$U$247:$U$249</formula1>
    </dataValidation>
    <dataValidation type="list" allowBlank="1" showInputMessage="1" showErrorMessage="1" sqref="S4:S20">
      <formula1>sys!$X$247:$X$249</formula1>
    </dataValidation>
    <dataValidation type="list" allowBlank="1" showInputMessage="1" showErrorMessage="1" sqref="T4:T20">
      <formula1>sys!$N$255:$N$259</formula1>
    </dataValidation>
    <dataValidation type="list" allowBlank="1" showInputMessage="1" showErrorMessage="1" sqref="R4:R20">
      <formula1>sys!$Y$268:$Y$274</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Y321"/>
  <sheetViews>
    <sheetView topLeftCell="A259" workbookViewId="0">
      <selection activeCell="Y268" sqref="Y268:Y274"/>
    </sheetView>
  </sheetViews>
  <sheetFormatPr defaultColWidth="8.88671875" defaultRowHeight="14.4"/>
  <cols>
    <col min="1" max="2" width="8.88671875" style="291"/>
    <col min="3" max="3" width="11.33203125" style="291" customWidth="1"/>
    <col min="4" max="4" width="11.6640625" style="291" customWidth="1"/>
    <col min="5" max="8" width="8.88671875" style="291"/>
    <col min="9" max="9" width="10" style="291" customWidth="1"/>
    <col min="10" max="10" width="11.6640625" style="291" customWidth="1"/>
    <col min="11" max="11" width="10.33203125" style="291" customWidth="1"/>
    <col min="12" max="12" width="10.6640625" style="291" customWidth="1"/>
    <col min="13" max="13" width="9.6640625" style="291" bestFit="1" customWidth="1"/>
    <col min="14" max="14" width="9.44140625" style="291" bestFit="1" customWidth="1"/>
    <col min="15" max="17" width="8.88671875" style="291"/>
    <col min="18" max="18" width="9.44140625" style="291" bestFit="1" customWidth="1"/>
    <col min="19" max="19" width="8.88671875" style="291"/>
    <col min="20" max="20" width="9.6640625" style="291" bestFit="1" customWidth="1"/>
    <col min="21" max="16384" width="8.88671875" style="291"/>
  </cols>
  <sheetData>
    <row r="1" spans="2:15" ht="15" thickBot="1"/>
    <row r="2" spans="2:15">
      <c r="B2" s="292" t="s">
        <v>140</v>
      </c>
      <c r="C2" s="293"/>
      <c r="D2" s="294"/>
      <c r="F2" s="295" t="s">
        <v>139</v>
      </c>
      <c r="G2" s="296"/>
      <c r="H2" s="296"/>
      <c r="I2" s="296"/>
      <c r="J2" s="297"/>
      <c r="M2" s="291" t="s">
        <v>836</v>
      </c>
      <c r="O2" s="291">
        <v>0.98</v>
      </c>
    </row>
    <row r="3" spans="2:15">
      <c r="B3" s="298" t="s">
        <v>135</v>
      </c>
      <c r="C3" s="299"/>
      <c r="D3" s="300">
        <v>18</v>
      </c>
      <c r="F3" s="301" t="s">
        <v>141</v>
      </c>
      <c r="G3" s="302"/>
      <c r="H3" s="302"/>
      <c r="I3" s="302"/>
      <c r="J3" s="303">
        <v>3.5</v>
      </c>
      <c r="M3" s="291" t="s">
        <v>837</v>
      </c>
      <c r="O3" s="291">
        <v>0.93</v>
      </c>
    </row>
    <row r="4" spans="2:15">
      <c r="B4" s="298" t="s">
        <v>136</v>
      </c>
      <c r="C4" s="299"/>
      <c r="D4" s="300">
        <v>20</v>
      </c>
      <c r="F4" s="301" t="s">
        <v>142</v>
      </c>
      <c r="G4" s="302"/>
      <c r="H4" s="302"/>
      <c r="I4" s="302"/>
      <c r="J4" s="303">
        <v>1.55</v>
      </c>
    </row>
    <row r="5" spans="2:15">
      <c r="B5" s="298" t="s">
        <v>137</v>
      </c>
      <c r="C5" s="299"/>
      <c r="D5" s="300">
        <v>23</v>
      </c>
      <c r="F5" s="301" t="s">
        <v>143</v>
      </c>
      <c r="G5" s="302"/>
      <c r="H5" s="302"/>
      <c r="I5" s="302"/>
      <c r="J5" s="303">
        <v>1.2</v>
      </c>
    </row>
    <row r="6" spans="2:15" ht="15" thickBot="1">
      <c r="B6" s="304" t="s">
        <v>138</v>
      </c>
      <c r="C6" s="305"/>
      <c r="D6" s="306">
        <v>28</v>
      </c>
      <c r="F6" s="301" t="s">
        <v>144</v>
      </c>
      <c r="G6" s="302"/>
      <c r="H6" s="302"/>
      <c r="I6" s="302"/>
      <c r="J6" s="303">
        <v>0.95</v>
      </c>
    </row>
    <row r="7" spans="2:15" ht="15" thickBot="1">
      <c r="F7" s="307" t="s">
        <v>145</v>
      </c>
      <c r="G7" s="308"/>
      <c r="H7" s="308"/>
      <c r="I7" s="308"/>
      <c r="J7" s="309" t="s">
        <v>146</v>
      </c>
    </row>
    <row r="10" spans="2:15">
      <c r="B10" s="310" t="s">
        <v>148</v>
      </c>
      <c r="C10" s="311" t="s">
        <v>149</v>
      </c>
      <c r="E10" s="312" t="s">
        <v>150</v>
      </c>
      <c r="F10" s="313"/>
      <c r="G10" s="313">
        <v>0</v>
      </c>
      <c r="H10" s="313">
        <v>100</v>
      </c>
      <c r="I10" s="313">
        <v>200</v>
      </c>
      <c r="J10" s="313">
        <v>300</v>
      </c>
      <c r="K10" s="314">
        <v>400</v>
      </c>
      <c r="M10" s="312">
        <v>0</v>
      </c>
      <c r="N10" s="314">
        <v>0.93600000000000005</v>
      </c>
    </row>
    <row r="11" spans="2:15">
      <c r="B11" s="315">
        <v>1</v>
      </c>
      <c r="C11" s="316">
        <v>1</v>
      </c>
      <c r="E11" s="317" t="s">
        <v>152</v>
      </c>
      <c r="F11" s="318"/>
      <c r="G11" s="318">
        <v>0.93600000000000005</v>
      </c>
      <c r="H11" s="318">
        <v>0.94899999999999995</v>
      </c>
      <c r="I11" s="318">
        <v>0.94799999999999995</v>
      </c>
      <c r="J11" s="318">
        <v>0.95099999999999996</v>
      </c>
      <c r="K11" s="319">
        <v>0.95199999999999996</v>
      </c>
      <c r="M11" s="320">
        <v>100</v>
      </c>
      <c r="N11" s="321">
        <v>0.94899999999999995</v>
      </c>
    </row>
    <row r="12" spans="2:15">
      <c r="B12" s="315">
        <v>1.25</v>
      </c>
      <c r="C12" s="316">
        <v>0.95</v>
      </c>
      <c r="M12" s="320">
        <v>200</v>
      </c>
      <c r="N12" s="321">
        <v>0.94799999999999995</v>
      </c>
    </row>
    <row r="13" spans="2:15">
      <c r="B13" s="315">
        <v>1.5</v>
      </c>
      <c r="C13" s="316">
        <v>0.85</v>
      </c>
      <c r="M13" s="320">
        <v>300</v>
      </c>
      <c r="N13" s="321">
        <v>0.95099999999999996</v>
      </c>
    </row>
    <row r="14" spans="2:15">
      <c r="B14" s="322">
        <v>2</v>
      </c>
      <c r="C14" s="323">
        <v>0.75</v>
      </c>
      <c r="M14" s="317">
        <v>400</v>
      </c>
      <c r="N14" s="319">
        <v>0.95199999999999996</v>
      </c>
    </row>
    <row r="16" spans="2:15">
      <c r="B16" s="972" t="s">
        <v>158</v>
      </c>
      <c r="C16" s="972"/>
      <c r="D16" s="972"/>
      <c r="E16" s="972"/>
      <c r="F16" s="972"/>
      <c r="G16" s="405"/>
      <c r="H16" s="972" t="s">
        <v>159</v>
      </c>
      <c r="I16" s="972"/>
      <c r="J16" s="972"/>
      <c r="K16" s="972"/>
      <c r="L16" s="972"/>
    </row>
    <row r="17" spans="1:17" ht="43.95" customHeight="1">
      <c r="B17" s="971" t="s">
        <v>166</v>
      </c>
      <c r="C17" s="324" t="s">
        <v>162</v>
      </c>
      <c r="D17" s="324" t="s">
        <v>163</v>
      </c>
      <c r="E17" s="324" t="s">
        <v>164</v>
      </c>
      <c r="F17" s="324" t="s">
        <v>165</v>
      </c>
      <c r="G17" s="973"/>
      <c r="H17" s="971" t="s">
        <v>166</v>
      </c>
      <c r="I17" s="324" t="s">
        <v>162</v>
      </c>
      <c r="J17" s="324" t="s">
        <v>163</v>
      </c>
      <c r="K17" s="324" t="s">
        <v>164</v>
      </c>
      <c r="L17" s="324" t="s">
        <v>165</v>
      </c>
    </row>
    <row r="18" spans="1:17">
      <c r="B18" s="971"/>
      <c r="C18" s="325"/>
      <c r="D18" s="325"/>
      <c r="E18" s="325"/>
      <c r="F18" s="325"/>
      <c r="G18" s="973"/>
      <c r="H18" s="971"/>
      <c r="I18" s="325"/>
      <c r="J18" s="325"/>
      <c r="K18" s="325"/>
      <c r="L18" s="325"/>
    </row>
    <row r="19" spans="1:17">
      <c r="B19" s="971"/>
      <c r="C19" s="326"/>
      <c r="D19" s="326"/>
      <c r="E19" s="326"/>
      <c r="F19" s="326"/>
      <c r="G19" s="973"/>
      <c r="H19" s="971"/>
      <c r="I19" s="326"/>
      <c r="J19" s="326"/>
      <c r="K19" s="326"/>
      <c r="L19" s="326"/>
    </row>
    <row r="20" spans="1:17">
      <c r="B20" s="972" t="s">
        <v>160</v>
      </c>
      <c r="C20" s="972"/>
      <c r="D20" s="972"/>
      <c r="E20" s="972"/>
      <c r="F20" s="972"/>
      <c r="G20" s="405"/>
      <c r="H20" s="972" t="s">
        <v>160</v>
      </c>
      <c r="I20" s="972"/>
      <c r="J20" s="972"/>
      <c r="K20" s="972"/>
      <c r="L20" s="972"/>
      <c r="N20" s="327" t="str">
        <f>ΥΠΟΛΟΓΙΣΜΟΙ!K67</f>
        <v>0</v>
      </c>
      <c r="O20" s="313"/>
      <c r="P20" s="313"/>
      <c r="Q20" s="314"/>
    </row>
    <row r="21" spans="1:17">
      <c r="A21" s="291" t="s">
        <v>361</v>
      </c>
      <c r="B21" s="404">
        <v>0</v>
      </c>
      <c r="C21" s="328">
        <v>5.5</v>
      </c>
      <c r="D21" s="328">
        <v>4.5</v>
      </c>
      <c r="E21" s="328">
        <v>11</v>
      </c>
      <c r="F21" s="328">
        <v>14</v>
      </c>
      <c r="G21" s="405"/>
      <c r="H21" s="404">
        <v>0</v>
      </c>
      <c r="I21" s="328">
        <v>8</v>
      </c>
      <c r="J21" s="328">
        <v>6.5</v>
      </c>
      <c r="K21" s="328">
        <v>17</v>
      </c>
      <c r="L21" s="328">
        <v>17</v>
      </c>
      <c r="N21" s="329" t="str">
        <f>ΥΠΟΛΟΓΙΣΜΟΙ!H68</f>
        <v>διέλευση σε εσ. ή/και 20% σε εξ.</v>
      </c>
      <c r="O21" s="302"/>
      <c r="P21" s="302"/>
      <c r="Q21" s="321"/>
    </row>
    <row r="22" spans="1:17">
      <c r="A22" s="291" t="s">
        <v>362</v>
      </c>
      <c r="B22" s="404">
        <v>100</v>
      </c>
      <c r="C22" s="328">
        <v>4</v>
      </c>
      <c r="D22" s="328">
        <v>3</v>
      </c>
      <c r="E22" s="328">
        <v>8.5</v>
      </c>
      <c r="F22" s="328">
        <v>12</v>
      </c>
      <c r="G22" s="405"/>
      <c r="H22" s="404">
        <v>100</v>
      </c>
      <c r="I22" s="328">
        <v>7.2</v>
      </c>
      <c r="J22" s="328">
        <v>5.7</v>
      </c>
      <c r="K22" s="328">
        <v>15.5</v>
      </c>
      <c r="L22" s="328">
        <v>15.5</v>
      </c>
      <c r="N22" s="329" t="str">
        <f>ΥΠΟΛΟΓΙΣΜΟΙ!H69</f>
        <v>χωρις μονωση</v>
      </c>
      <c r="O22" s="302"/>
      <c r="P22" s="302"/>
      <c r="Q22" s="321"/>
    </row>
    <row r="23" spans="1:17">
      <c r="A23" s="291" t="s">
        <v>363</v>
      </c>
      <c r="B23" s="404">
        <v>200</v>
      </c>
      <c r="C23" s="328">
        <v>3</v>
      </c>
      <c r="D23" s="328">
        <v>2.5</v>
      </c>
      <c r="E23" s="328">
        <v>6.5</v>
      </c>
      <c r="F23" s="328">
        <v>10.5</v>
      </c>
      <c r="G23" s="405"/>
      <c r="H23" s="404">
        <v>200</v>
      </c>
      <c r="I23" s="328">
        <v>6</v>
      </c>
      <c r="J23" s="328">
        <v>4.2</v>
      </c>
      <c r="K23" s="328">
        <v>14.2</v>
      </c>
      <c r="L23" s="328">
        <v>14.2</v>
      </c>
      <c r="N23" s="330" t="str">
        <f>ΥΠΟΛΟΓΙΣΜΟΙ!H70</f>
        <v>δικτυο με υψηλες θερμ. &gt;60οC</v>
      </c>
      <c r="O23" s="318"/>
      <c r="P23" s="318"/>
      <c r="Q23" s="319"/>
    </row>
    <row r="24" spans="1:17">
      <c r="A24" s="291" t="s">
        <v>364</v>
      </c>
      <c r="B24" s="404">
        <v>300</v>
      </c>
      <c r="C24" s="328">
        <v>2.5</v>
      </c>
      <c r="D24" s="328">
        <v>2</v>
      </c>
      <c r="E24" s="328">
        <v>5</v>
      </c>
      <c r="F24" s="328">
        <v>9.1999999999999993</v>
      </c>
      <c r="G24" s="405"/>
      <c r="H24" s="404">
        <v>300</v>
      </c>
      <c r="I24" s="328">
        <v>3.8</v>
      </c>
      <c r="J24" s="328">
        <v>2.7</v>
      </c>
      <c r="K24" s="328">
        <v>13.1</v>
      </c>
      <c r="L24" s="328">
        <v>13.1</v>
      </c>
    </row>
    <row r="25" spans="1:17">
      <c r="A25" s="291" t="s">
        <v>365</v>
      </c>
      <c r="B25" s="404">
        <v>400</v>
      </c>
      <c r="C25" s="328">
        <v>2</v>
      </c>
      <c r="D25" s="328">
        <v>1.5</v>
      </c>
      <c r="E25" s="328">
        <v>4</v>
      </c>
      <c r="F25" s="328">
        <v>7</v>
      </c>
      <c r="G25" s="405"/>
      <c r="H25" s="404">
        <v>400</v>
      </c>
      <c r="I25" s="328">
        <v>3</v>
      </c>
      <c r="J25" s="328">
        <v>2</v>
      </c>
      <c r="K25" s="328">
        <v>12</v>
      </c>
      <c r="L25" s="328">
        <v>12</v>
      </c>
      <c r="N25" s="405">
        <f>MROUND(N20,100)</f>
        <v>0</v>
      </c>
      <c r="O25" s="405">
        <f>IF((N25-N20)&lt;0,N25,N25-100)</f>
        <v>-100</v>
      </c>
      <c r="P25" s="331">
        <f>IF(O25&lt;400,O25,400)</f>
        <v>-100</v>
      </c>
      <c r="Q25" s="405"/>
    </row>
    <row r="26" spans="1:17">
      <c r="B26" s="972" t="s">
        <v>161</v>
      </c>
      <c r="C26" s="972"/>
      <c r="D26" s="972"/>
      <c r="E26" s="972"/>
      <c r="F26" s="972"/>
      <c r="G26" s="405"/>
      <c r="H26" s="972" t="s">
        <v>161</v>
      </c>
      <c r="I26" s="972"/>
      <c r="J26" s="972"/>
      <c r="K26" s="972"/>
      <c r="L26" s="972"/>
    </row>
    <row r="27" spans="1:17">
      <c r="B27" s="404">
        <v>0</v>
      </c>
      <c r="C27" s="328">
        <v>3.5</v>
      </c>
      <c r="D27" s="328">
        <v>3</v>
      </c>
      <c r="E27" s="328">
        <v>8</v>
      </c>
      <c r="F27" s="328">
        <v>9</v>
      </c>
      <c r="G27" s="405"/>
      <c r="H27" s="404">
        <v>0</v>
      </c>
      <c r="I27" s="328">
        <v>4.5</v>
      </c>
      <c r="J27" s="328">
        <v>3.7</v>
      </c>
      <c r="K27" s="328">
        <v>11</v>
      </c>
      <c r="L27" s="328">
        <v>11</v>
      </c>
      <c r="N27" s="955" t="s">
        <v>168</v>
      </c>
      <c r="O27" s="955"/>
      <c r="P27" s="955" t="s">
        <v>169</v>
      </c>
      <c r="Q27" s="955"/>
    </row>
    <row r="28" spans="1:17">
      <c r="B28" s="404">
        <v>100</v>
      </c>
      <c r="C28" s="328">
        <v>2.7</v>
      </c>
      <c r="D28" s="328">
        <v>2.2000000000000002</v>
      </c>
      <c r="E28" s="328">
        <v>7.2</v>
      </c>
      <c r="F28" s="328">
        <v>8.3000000000000007</v>
      </c>
      <c r="G28" s="405"/>
      <c r="H28" s="404">
        <v>100</v>
      </c>
      <c r="I28" s="328">
        <v>4</v>
      </c>
      <c r="J28" s="328">
        <v>3.1</v>
      </c>
      <c r="K28" s="328">
        <v>10.4</v>
      </c>
      <c r="L28" s="328">
        <v>10.4</v>
      </c>
      <c r="N28" s="332" t="e">
        <f>IF(N21="διέλευση σε εσ. ή/και 20% σε εξ.",IF(N23="δικτυο με υψηλες θερμ. &gt;60οC",INDEX(C21:F25,MATCH(P25,B21:B25,0),MATCH(N22,C17:F17,0)),INDEX(C27:F31,MATCH(P25,B27:B31,0),MATCH(N22,C17:F17,0))),IF(N23="δικτυο με υψηλες θερμ. &gt;60οC",INDEX(I21:L25,MATCH(P25,H21:H25,0),MATCH(N22,I17:L17,0)),INDEX(I27:L31,MATCH(P25,H27:H31,0),MATCH(N22,I17:L17,0))))</f>
        <v>#N/A</v>
      </c>
      <c r="P28" s="291" t="e">
        <f>(100-N28)/100</f>
        <v>#N/A</v>
      </c>
    </row>
    <row r="29" spans="1:17">
      <c r="B29" s="404">
        <v>200</v>
      </c>
      <c r="C29" s="328">
        <v>2</v>
      </c>
      <c r="D29" s="328">
        <v>1.8</v>
      </c>
      <c r="E29" s="328">
        <v>6</v>
      </c>
      <c r="F29" s="328">
        <v>6.2</v>
      </c>
      <c r="G29" s="405"/>
      <c r="H29" s="404">
        <v>200</v>
      </c>
      <c r="I29" s="328">
        <v>3.3</v>
      </c>
      <c r="J29" s="328">
        <v>2.5</v>
      </c>
      <c r="K29" s="328">
        <v>10</v>
      </c>
      <c r="L29" s="328">
        <v>10</v>
      </c>
    </row>
    <row r="30" spans="1:17">
      <c r="B30" s="404">
        <v>300</v>
      </c>
      <c r="C30" s="328">
        <v>1.5</v>
      </c>
      <c r="D30" s="328">
        <v>1.2</v>
      </c>
      <c r="E30" s="328">
        <v>4.5</v>
      </c>
      <c r="F30" s="328">
        <v>5</v>
      </c>
      <c r="G30" s="405"/>
      <c r="H30" s="404">
        <v>300</v>
      </c>
      <c r="I30" s="328">
        <v>2.2000000000000002</v>
      </c>
      <c r="J30" s="328">
        <v>1.8</v>
      </c>
      <c r="K30" s="328">
        <v>9.6999999999999993</v>
      </c>
      <c r="L30" s="328">
        <v>9.6999999999999993</v>
      </c>
    </row>
    <row r="31" spans="1:17">
      <c r="B31" s="404">
        <v>400</v>
      </c>
      <c r="C31" s="328">
        <v>1.2</v>
      </c>
      <c r="D31" s="328">
        <v>0.8</v>
      </c>
      <c r="E31" s="328">
        <v>3.3</v>
      </c>
      <c r="F31" s="328">
        <v>4</v>
      </c>
      <c r="G31" s="405"/>
      <c r="H31" s="404">
        <v>400</v>
      </c>
      <c r="I31" s="328">
        <v>1.7</v>
      </c>
      <c r="J31" s="328">
        <v>1</v>
      </c>
      <c r="K31" s="328">
        <v>9.5</v>
      </c>
      <c r="L31" s="328">
        <v>9.5</v>
      </c>
    </row>
    <row r="34" spans="2:21">
      <c r="B34" s="291" t="s">
        <v>172</v>
      </c>
      <c r="H34" s="291" t="s">
        <v>182</v>
      </c>
      <c r="K34" s="291" t="s">
        <v>188</v>
      </c>
      <c r="L34" s="291" t="s">
        <v>189</v>
      </c>
      <c r="M34" s="291" t="s">
        <v>190</v>
      </c>
    </row>
    <row r="35" spans="2:21">
      <c r="B35" s="291" t="s">
        <v>174</v>
      </c>
      <c r="E35" s="332">
        <v>1</v>
      </c>
      <c r="H35" s="291" t="s">
        <v>183</v>
      </c>
      <c r="K35" s="405">
        <v>0.85</v>
      </c>
      <c r="L35" s="405">
        <v>0.89</v>
      </c>
      <c r="M35" s="405">
        <v>0.91</v>
      </c>
    </row>
    <row r="36" spans="2:21">
      <c r="B36" s="291" t="s">
        <v>173</v>
      </c>
      <c r="E36" s="332">
        <v>0.95</v>
      </c>
      <c r="H36" s="291" t="s">
        <v>184</v>
      </c>
      <c r="K36" s="405">
        <v>0.89</v>
      </c>
      <c r="L36" s="405">
        <v>0.93</v>
      </c>
      <c r="M36" s="405">
        <v>0.95</v>
      </c>
    </row>
    <row r="37" spans="2:21">
      <c r="B37" s="291" t="s">
        <v>175</v>
      </c>
      <c r="E37" s="332">
        <v>1</v>
      </c>
      <c r="H37" s="291" t="s">
        <v>185</v>
      </c>
      <c r="K37" s="405" t="s">
        <v>191</v>
      </c>
      <c r="L37" s="405" t="s">
        <v>191</v>
      </c>
      <c r="M37" s="405">
        <v>0.9</v>
      </c>
      <c r="Q37" s="291" t="s">
        <v>543</v>
      </c>
      <c r="R37" s="966" t="str">
        <f>ΥΠΟΛΟΓΙΣΜΟΙ!F8</f>
        <v>[χρηση κτιριου ή κτιριακης μοναδας]</v>
      </c>
      <c r="S37" s="967"/>
      <c r="T37" s="967"/>
      <c r="U37" s="967"/>
    </row>
    <row r="38" spans="2:21">
      <c r="E38" s="332"/>
      <c r="H38" s="291" t="s">
        <v>186</v>
      </c>
      <c r="K38" s="405" t="s">
        <v>191</v>
      </c>
      <c r="L38" s="405" t="s">
        <v>191</v>
      </c>
      <c r="M38" s="405">
        <v>0.87</v>
      </c>
    </row>
    <row r="39" spans="2:21">
      <c r="B39" s="291" t="s">
        <v>176</v>
      </c>
      <c r="E39" s="332"/>
      <c r="H39" s="291" t="s">
        <v>187</v>
      </c>
      <c r="K39" s="405" t="s">
        <v>191</v>
      </c>
      <c r="L39" s="405" t="s">
        <v>191</v>
      </c>
      <c r="M39" s="405">
        <v>0.85</v>
      </c>
      <c r="R39" s="333" t="s">
        <v>532</v>
      </c>
      <c r="S39" s="334" t="e">
        <f>INDEX(L50:L92,MATCH(R37,B50:B92,0))</f>
        <v>#N/A</v>
      </c>
      <c r="T39" s="335" t="s">
        <v>536</v>
      </c>
      <c r="U39" s="336" t="e">
        <f>INDEX(M50:M92,MATCH(R37,B50:B92,0))</f>
        <v>#N/A</v>
      </c>
    </row>
    <row r="40" spans="2:21" ht="15" thickBot="1">
      <c r="B40" s="291" t="s">
        <v>177</v>
      </c>
      <c r="E40" s="332">
        <v>1</v>
      </c>
      <c r="R40" s="337" t="s">
        <v>538</v>
      </c>
      <c r="S40" s="338">
        <f>ΥΠΟΛΟΓΙΣΜΟΙ!R77</f>
        <v>0</v>
      </c>
      <c r="T40" s="275" t="s">
        <v>537</v>
      </c>
      <c r="U40" s="339">
        <f>ΥΠΟΛΟΓΙΣΜΟΙ!T77</f>
        <v>0</v>
      </c>
    </row>
    <row r="41" spans="2:21">
      <c r="B41" s="291" t="s">
        <v>178</v>
      </c>
      <c r="E41" s="332">
        <v>0.97</v>
      </c>
      <c r="H41" s="291" t="s">
        <v>188</v>
      </c>
      <c r="M41" s="292" t="s">
        <v>534</v>
      </c>
      <c r="N41" s="293"/>
      <c r="O41" s="294"/>
      <c r="P41" s="291" t="s">
        <v>535</v>
      </c>
      <c r="R41" s="340" t="s">
        <v>539</v>
      </c>
      <c r="S41" s="341" t="str">
        <f>ΥΠΟΛΟΓΙΣΜΟΙ!R78</f>
        <v>Β</v>
      </c>
      <c r="T41" s="274" t="s">
        <v>541</v>
      </c>
      <c r="U41" s="342" t="str">
        <f>ΥΠΟΛΟΓΙΣΜΟΙ!T78</f>
        <v>ΟΧΙ</v>
      </c>
    </row>
    <row r="42" spans="2:21">
      <c r="E42" s="332"/>
      <c r="H42" s="291" t="s">
        <v>189</v>
      </c>
      <c r="M42" s="298" t="s">
        <v>376</v>
      </c>
      <c r="N42" s="299"/>
      <c r="O42" s="300">
        <v>12.8</v>
      </c>
      <c r="P42" s="291">
        <v>10.1</v>
      </c>
      <c r="R42" s="969" t="s">
        <v>540</v>
      </c>
      <c r="S42" s="970"/>
      <c r="T42" s="970"/>
      <c r="U42" s="343">
        <f>IF(U41="ΟΧΙ",INDEX(O42:O45,MATCH(S41,M42:M45,0)),INDEX(P42:P45,MATCH(S41,M42:M45,0)))</f>
        <v>10.1</v>
      </c>
    </row>
    <row r="43" spans="2:21">
      <c r="B43" s="291" t="s">
        <v>179</v>
      </c>
      <c r="E43" s="332"/>
      <c r="H43" s="291" t="s">
        <v>190</v>
      </c>
      <c r="M43" s="298" t="s">
        <v>375</v>
      </c>
      <c r="N43" s="299"/>
      <c r="O43" s="300">
        <v>10.1</v>
      </c>
      <c r="P43" s="291">
        <v>6.5</v>
      </c>
      <c r="R43" s="558" t="s">
        <v>338</v>
      </c>
      <c r="S43" s="559"/>
      <c r="T43" s="559"/>
      <c r="U43" s="344" t="e">
        <f>(S39*S40+U39*U40)*(4.18/3600)*1*(45-U42)/5</f>
        <v>#N/A</v>
      </c>
    </row>
    <row r="44" spans="2:21">
      <c r="B44" s="291" t="s">
        <v>180</v>
      </c>
      <c r="E44" s="332">
        <v>1</v>
      </c>
      <c r="M44" s="298" t="s">
        <v>542</v>
      </c>
      <c r="N44" s="299"/>
      <c r="O44" s="300">
        <v>6.5</v>
      </c>
      <c r="P44" s="291">
        <v>4.2</v>
      </c>
    </row>
    <row r="45" spans="2:21" ht="15" thickBot="1">
      <c r="B45" s="291" t="s">
        <v>181</v>
      </c>
      <c r="E45" s="332">
        <v>1.03</v>
      </c>
      <c r="M45" s="304" t="s">
        <v>378</v>
      </c>
      <c r="N45" s="305"/>
      <c r="O45" s="306">
        <v>4.2</v>
      </c>
      <c r="P45" s="291">
        <v>4.2</v>
      </c>
    </row>
    <row r="48" spans="2:21">
      <c r="H48" s="961" t="s">
        <v>285</v>
      </c>
      <c r="I48" s="964"/>
      <c r="J48" s="291" t="s">
        <v>294</v>
      </c>
      <c r="K48" s="345" t="s">
        <v>295</v>
      </c>
      <c r="L48" s="961" t="s">
        <v>531</v>
      </c>
      <c r="M48" s="955"/>
    </row>
    <row r="49" spans="2:14" ht="57" customHeight="1">
      <c r="B49" s="346" t="s">
        <v>283</v>
      </c>
      <c r="C49" s="318"/>
      <c r="D49" s="318"/>
      <c r="E49" s="318"/>
      <c r="F49" s="318"/>
      <c r="G49" s="318"/>
      <c r="H49" s="347" t="s">
        <v>286</v>
      </c>
      <c r="I49" s="348" t="s">
        <v>287</v>
      </c>
      <c r="J49" s="318" t="s">
        <v>293</v>
      </c>
      <c r="K49" s="349" t="s">
        <v>296</v>
      </c>
      <c r="L49" s="318" t="s">
        <v>532</v>
      </c>
      <c r="M49" s="318" t="s">
        <v>533</v>
      </c>
      <c r="N49" s="318"/>
    </row>
    <row r="50" spans="2:14">
      <c r="B50" s="291" t="s">
        <v>240</v>
      </c>
      <c r="H50" s="350">
        <v>27.38</v>
      </c>
      <c r="I50" s="351" t="s">
        <v>236</v>
      </c>
      <c r="J50" s="332">
        <v>0.75</v>
      </c>
      <c r="K50" s="352">
        <v>200</v>
      </c>
      <c r="L50" s="353">
        <v>50</v>
      </c>
      <c r="M50" s="354">
        <v>0</v>
      </c>
    </row>
    <row r="51" spans="2:14">
      <c r="B51" s="291" t="s">
        <v>241</v>
      </c>
      <c r="H51" s="350" t="s">
        <v>288</v>
      </c>
      <c r="I51" s="351" t="s">
        <v>236</v>
      </c>
      <c r="J51" s="332">
        <v>3</v>
      </c>
      <c r="K51" s="352">
        <v>300</v>
      </c>
      <c r="L51" s="355" t="s">
        <v>288</v>
      </c>
      <c r="M51" s="354">
        <v>0</v>
      </c>
    </row>
    <row r="52" spans="2:14">
      <c r="B52" s="291" t="s">
        <v>242</v>
      </c>
      <c r="H52" s="350" t="s">
        <v>288</v>
      </c>
      <c r="I52" s="351" t="s">
        <v>236</v>
      </c>
      <c r="J52" s="332">
        <v>3</v>
      </c>
      <c r="K52" s="352">
        <v>300</v>
      </c>
      <c r="L52" s="355" t="s">
        <v>288</v>
      </c>
      <c r="M52" s="354">
        <v>0</v>
      </c>
    </row>
    <row r="53" spans="2:14">
      <c r="B53" s="291" t="s">
        <v>243</v>
      </c>
      <c r="H53" s="350" t="s">
        <v>288</v>
      </c>
      <c r="I53" s="351" t="s">
        <v>236</v>
      </c>
      <c r="J53" s="332">
        <v>3</v>
      </c>
      <c r="K53" s="352">
        <v>300</v>
      </c>
      <c r="L53" s="355" t="s">
        <v>288</v>
      </c>
      <c r="M53" s="354">
        <v>0</v>
      </c>
    </row>
    <row r="54" spans="2:14">
      <c r="B54" s="291" t="s">
        <v>244</v>
      </c>
      <c r="H54" s="350">
        <v>21.9</v>
      </c>
      <c r="I54" s="351" t="s">
        <v>236</v>
      </c>
      <c r="J54" s="332">
        <v>3</v>
      </c>
      <c r="K54" s="352">
        <v>300</v>
      </c>
      <c r="L54" s="353">
        <v>60</v>
      </c>
      <c r="M54" s="354">
        <v>0</v>
      </c>
    </row>
    <row r="55" spans="2:14">
      <c r="B55" s="291" t="s">
        <v>245</v>
      </c>
      <c r="H55" s="350">
        <v>12.74</v>
      </c>
      <c r="I55" s="351" t="s">
        <v>236</v>
      </c>
      <c r="J55" s="332">
        <v>3</v>
      </c>
      <c r="K55" s="352">
        <v>300</v>
      </c>
      <c r="L55" s="353">
        <v>60</v>
      </c>
      <c r="M55" s="354">
        <v>0</v>
      </c>
    </row>
    <row r="56" spans="2:14">
      <c r="B56" s="291" t="s">
        <v>246</v>
      </c>
      <c r="H56" s="350">
        <v>14.56</v>
      </c>
      <c r="I56" s="351" t="s">
        <v>236</v>
      </c>
      <c r="J56" s="332">
        <v>3</v>
      </c>
      <c r="K56" s="352">
        <v>300</v>
      </c>
      <c r="L56" s="353">
        <v>60</v>
      </c>
      <c r="M56" s="354">
        <v>0</v>
      </c>
    </row>
    <row r="57" spans="2:14">
      <c r="B57" s="291" t="s">
        <v>247</v>
      </c>
      <c r="H57" s="350">
        <v>18.25</v>
      </c>
      <c r="I57" s="351" t="s">
        <v>236</v>
      </c>
      <c r="J57" s="332">
        <v>1.5</v>
      </c>
      <c r="K57" s="352">
        <v>300</v>
      </c>
      <c r="L57" s="353">
        <v>50</v>
      </c>
      <c r="M57" s="354">
        <v>0</v>
      </c>
    </row>
    <row r="58" spans="2:14">
      <c r="B58" s="291" t="s">
        <v>248</v>
      </c>
      <c r="H58" s="350" t="s">
        <v>236</v>
      </c>
      <c r="I58" s="351" t="s">
        <v>236</v>
      </c>
      <c r="J58" s="332">
        <v>1.2</v>
      </c>
      <c r="K58" s="352">
        <v>250</v>
      </c>
      <c r="L58" s="353" t="s">
        <v>236</v>
      </c>
      <c r="M58" s="354">
        <v>0</v>
      </c>
    </row>
    <row r="59" spans="2:14">
      <c r="B59" s="291" t="s">
        <v>249</v>
      </c>
      <c r="H59" s="350" t="s">
        <v>236</v>
      </c>
      <c r="I59" s="351" t="s">
        <v>236</v>
      </c>
      <c r="J59" s="332">
        <v>6.25</v>
      </c>
      <c r="K59" s="352">
        <v>100</v>
      </c>
      <c r="L59" s="353" t="s">
        <v>236</v>
      </c>
      <c r="M59" s="354">
        <v>0</v>
      </c>
    </row>
    <row r="60" spans="2:14">
      <c r="B60" s="291" t="s">
        <v>250</v>
      </c>
      <c r="H60" s="350" t="s">
        <v>236</v>
      </c>
      <c r="I60" s="351">
        <v>2.04</v>
      </c>
      <c r="J60" s="332">
        <v>17.5</v>
      </c>
      <c r="K60" s="352">
        <v>200</v>
      </c>
      <c r="L60" s="353">
        <v>8</v>
      </c>
      <c r="M60" s="354">
        <v>5.6</v>
      </c>
    </row>
    <row r="61" spans="2:14">
      <c r="B61" s="291" t="s">
        <v>251</v>
      </c>
      <c r="H61" s="350" t="s">
        <v>236</v>
      </c>
      <c r="I61" s="351">
        <v>0.57999999999999996</v>
      </c>
      <c r="J61" s="332">
        <v>20</v>
      </c>
      <c r="K61" s="352">
        <v>250</v>
      </c>
      <c r="L61" s="353">
        <v>2</v>
      </c>
      <c r="M61" s="354">
        <v>1.6</v>
      </c>
    </row>
    <row r="62" spans="2:14">
      <c r="B62" s="291" t="s">
        <v>252</v>
      </c>
      <c r="H62" s="350" t="s">
        <v>236</v>
      </c>
      <c r="I62" s="351">
        <v>0.62</v>
      </c>
      <c r="J62" s="332">
        <v>45</v>
      </c>
      <c r="K62" s="352">
        <v>100</v>
      </c>
      <c r="L62" s="353">
        <v>3</v>
      </c>
      <c r="M62" s="354">
        <v>3</v>
      </c>
    </row>
    <row r="63" spans="2:14">
      <c r="B63" s="291" t="s">
        <v>253</v>
      </c>
      <c r="H63" s="350" t="s">
        <v>236</v>
      </c>
      <c r="I63" s="351">
        <v>0</v>
      </c>
      <c r="J63" s="332">
        <v>25</v>
      </c>
      <c r="K63" s="352">
        <v>100</v>
      </c>
      <c r="L63" s="353">
        <v>0</v>
      </c>
      <c r="M63" s="354">
        <v>0</v>
      </c>
    </row>
    <row r="64" spans="2:14">
      <c r="B64" s="291" t="s">
        <v>254</v>
      </c>
      <c r="H64" s="350" t="s">
        <v>236</v>
      </c>
      <c r="I64" s="351">
        <f>-I631</f>
        <v>0</v>
      </c>
      <c r="J64" s="332">
        <v>30</v>
      </c>
      <c r="K64" s="352">
        <v>100</v>
      </c>
      <c r="L64" s="353">
        <v>0</v>
      </c>
      <c r="M64" s="354">
        <v>0</v>
      </c>
    </row>
    <row r="65" spans="2:13">
      <c r="B65" s="291" t="s">
        <v>255</v>
      </c>
      <c r="H65" s="350" t="s">
        <v>236</v>
      </c>
      <c r="I65" s="351">
        <v>0</v>
      </c>
      <c r="J65" s="332">
        <v>10</v>
      </c>
      <c r="K65" s="352">
        <v>200</v>
      </c>
      <c r="L65" s="353">
        <v>0</v>
      </c>
      <c r="M65" s="354">
        <v>0</v>
      </c>
    </row>
    <row r="66" spans="2:13">
      <c r="B66" s="291" t="s">
        <v>256</v>
      </c>
      <c r="H66" s="350" t="s">
        <v>236</v>
      </c>
      <c r="I66" s="351">
        <v>0</v>
      </c>
      <c r="J66" s="332">
        <v>27.5</v>
      </c>
      <c r="K66" s="352">
        <v>500</v>
      </c>
      <c r="L66" s="353">
        <v>0</v>
      </c>
      <c r="M66" s="354">
        <v>0</v>
      </c>
    </row>
    <row r="67" spans="2:13">
      <c r="B67" s="291" t="s">
        <v>257</v>
      </c>
      <c r="H67" s="350" t="s">
        <v>236</v>
      </c>
      <c r="I67" s="351">
        <v>0</v>
      </c>
      <c r="J67" s="332">
        <v>6</v>
      </c>
      <c r="K67" s="352">
        <v>500</v>
      </c>
      <c r="L67" s="353">
        <v>0</v>
      </c>
      <c r="M67" s="354">
        <v>0</v>
      </c>
    </row>
    <row r="68" spans="2:13">
      <c r="B68" s="291" t="s">
        <v>258</v>
      </c>
      <c r="H68" s="350" t="s">
        <v>236</v>
      </c>
      <c r="I68" s="351">
        <v>0</v>
      </c>
      <c r="J68" s="332">
        <v>22.5</v>
      </c>
      <c r="K68" s="352">
        <v>300</v>
      </c>
      <c r="L68" s="353">
        <v>0</v>
      </c>
      <c r="M68" s="354">
        <v>0</v>
      </c>
    </row>
    <row r="69" spans="2:13">
      <c r="B69" s="291" t="s">
        <v>259</v>
      </c>
      <c r="H69" s="350" t="s">
        <v>236</v>
      </c>
      <c r="I69" s="351">
        <v>3.29</v>
      </c>
      <c r="J69" s="332">
        <v>33.75</v>
      </c>
      <c r="K69" s="352">
        <v>300</v>
      </c>
      <c r="L69" s="353">
        <v>20</v>
      </c>
      <c r="M69" s="354">
        <v>9</v>
      </c>
    </row>
    <row r="70" spans="2:13">
      <c r="B70" s="291" t="s">
        <v>260</v>
      </c>
      <c r="H70" s="350" t="s">
        <v>236</v>
      </c>
      <c r="I70" s="351">
        <v>0</v>
      </c>
      <c r="J70" s="332">
        <v>2.6</v>
      </c>
      <c r="K70" s="352">
        <v>200</v>
      </c>
      <c r="L70" s="353">
        <v>0</v>
      </c>
      <c r="M70" s="354">
        <v>0</v>
      </c>
    </row>
    <row r="71" spans="2:13">
      <c r="B71" s="291" t="s">
        <v>261</v>
      </c>
      <c r="H71" s="350" t="s">
        <v>236</v>
      </c>
      <c r="I71" s="351">
        <v>0</v>
      </c>
      <c r="J71" s="332">
        <v>6</v>
      </c>
      <c r="K71" s="352">
        <v>200</v>
      </c>
      <c r="L71" s="353">
        <v>0</v>
      </c>
      <c r="M71" s="354">
        <v>0</v>
      </c>
    </row>
    <row r="72" spans="2:13">
      <c r="B72" s="291" t="s">
        <v>262</v>
      </c>
      <c r="H72" s="350" t="s">
        <v>236</v>
      </c>
      <c r="I72" s="351">
        <v>0</v>
      </c>
      <c r="J72" s="332">
        <v>11</v>
      </c>
      <c r="K72" s="352">
        <v>300</v>
      </c>
      <c r="L72" s="353">
        <v>0</v>
      </c>
      <c r="M72" s="354">
        <v>0</v>
      </c>
    </row>
    <row r="73" spans="2:13">
      <c r="B73" s="291" t="s">
        <v>263</v>
      </c>
      <c r="H73" s="350" t="s">
        <v>236</v>
      </c>
      <c r="I73" s="351">
        <v>0</v>
      </c>
      <c r="J73" s="332">
        <v>11</v>
      </c>
      <c r="K73" s="352">
        <v>300</v>
      </c>
      <c r="L73" s="353">
        <v>0</v>
      </c>
      <c r="M73" s="354">
        <v>0</v>
      </c>
    </row>
    <row r="74" spans="2:13">
      <c r="B74" s="291" t="s">
        <v>264</v>
      </c>
      <c r="H74" s="350" t="s">
        <v>236</v>
      </c>
      <c r="I74" s="351">
        <v>0</v>
      </c>
      <c r="J74" s="332">
        <v>11</v>
      </c>
      <c r="K74" s="352">
        <v>500</v>
      </c>
      <c r="L74" s="353">
        <v>0</v>
      </c>
      <c r="M74" s="354">
        <v>0</v>
      </c>
    </row>
    <row r="75" spans="2:13">
      <c r="B75" s="291" t="s">
        <v>265</v>
      </c>
      <c r="H75" s="350" t="s">
        <v>236</v>
      </c>
      <c r="I75" s="351">
        <v>0</v>
      </c>
      <c r="J75" s="332">
        <v>12.1</v>
      </c>
      <c r="K75" s="352">
        <v>500</v>
      </c>
      <c r="L75" s="353">
        <v>0</v>
      </c>
      <c r="M75" s="354">
        <v>0</v>
      </c>
    </row>
    <row r="76" spans="2:13">
      <c r="B76" s="291" t="s">
        <v>266</v>
      </c>
      <c r="H76" s="350" t="s">
        <v>288</v>
      </c>
      <c r="I76" s="351" t="s">
        <v>236</v>
      </c>
      <c r="J76" s="332">
        <v>10.5</v>
      </c>
      <c r="K76" s="352">
        <v>300</v>
      </c>
      <c r="L76" s="350" t="s">
        <v>288</v>
      </c>
      <c r="M76" s="350" t="s">
        <v>288</v>
      </c>
    </row>
    <row r="77" spans="2:13">
      <c r="B77" s="291" t="s">
        <v>267</v>
      </c>
      <c r="H77" s="350" t="s">
        <v>288</v>
      </c>
      <c r="I77" s="351" t="s">
        <v>236</v>
      </c>
      <c r="J77" s="332">
        <v>5.5</v>
      </c>
      <c r="K77" s="352">
        <v>100</v>
      </c>
      <c r="L77" s="350" t="s">
        <v>288</v>
      </c>
      <c r="M77" s="350" t="s">
        <v>288</v>
      </c>
    </row>
    <row r="78" spans="2:13">
      <c r="B78" s="291" t="s">
        <v>268</v>
      </c>
      <c r="H78" s="350" t="s">
        <v>288</v>
      </c>
      <c r="I78" s="351" t="s">
        <v>236</v>
      </c>
      <c r="J78" s="332">
        <v>30</v>
      </c>
      <c r="K78" s="352">
        <v>1000</v>
      </c>
      <c r="L78" s="350" t="s">
        <v>288</v>
      </c>
      <c r="M78" s="350" t="s">
        <v>288</v>
      </c>
    </row>
    <row r="79" spans="2:13">
      <c r="B79" s="291" t="s">
        <v>269</v>
      </c>
      <c r="H79" s="350" t="s">
        <v>288</v>
      </c>
      <c r="I79" s="351" t="s">
        <v>236</v>
      </c>
      <c r="J79" s="332">
        <v>5</v>
      </c>
      <c r="K79" s="352">
        <v>500</v>
      </c>
      <c r="L79" s="350" t="s">
        <v>288</v>
      </c>
      <c r="M79" s="350" t="s">
        <v>288</v>
      </c>
    </row>
    <row r="80" spans="2:13">
      <c r="B80" s="291" t="s">
        <v>270</v>
      </c>
      <c r="H80" s="350" t="s">
        <v>288</v>
      </c>
      <c r="I80" s="351" t="s">
        <v>236</v>
      </c>
      <c r="J80" s="332">
        <v>24.75</v>
      </c>
      <c r="K80" s="352">
        <v>300</v>
      </c>
      <c r="L80" s="350" t="s">
        <v>288</v>
      </c>
      <c r="M80" s="350" t="s">
        <v>288</v>
      </c>
    </row>
    <row r="81" spans="2:13">
      <c r="B81" s="291" t="s">
        <v>271</v>
      </c>
      <c r="H81" s="350" t="s">
        <v>236</v>
      </c>
      <c r="I81" s="351">
        <v>0.2</v>
      </c>
      <c r="J81" s="332">
        <v>7.5</v>
      </c>
      <c r="K81" s="352">
        <v>500</v>
      </c>
      <c r="L81" s="353">
        <v>5</v>
      </c>
      <c r="M81" s="354">
        <v>0.75</v>
      </c>
    </row>
    <row r="82" spans="2:13">
      <c r="B82" s="291" t="s">
        <v>272</v>
      </c>
      <c r="H82" s="350">
        <v>18.25</v>
      </c>
      <c r="I82" s="351" t="s">
        <v>236</v>
      </c>
      <c r="J82" s="332">
        <v>3.75</v>
      </c>
      <c r="K82" s="352">
        <v>300</v>
      </c>
      <c r="L82" s="353">
        <v>50</v>
      </c>
      <c r="M82" s="354">
        <v>0</v>
      </c>
    </row>
    <row r="83" spans="2:13">
      <c r="B83" s="291" t="s">
        <v>273</v>
      </c>
      <c r="H83" s="350">
        <v>18.25</v>
      </c>
      <c r="I83" s="351" t="s">
        <v>236</v>
      </c>
      <c r="J83" s="332">
        <v>3.75</v>
      </c>
      <c r="K83" s="352">
        <v>300</v>
      </c>
      <c r="L83" s="353">
        <v>50</v>
      </c>
      <c r="M83" s="354">
        <v>0</v>
      </c>
    </row>
    <row r="84" spans="2:13">
      <c r="B84" s="291" t="s">
        <v>274</v>
      </c>
      <c r="H84" s="350" t="s">
        <v>236</v>
      </c>
      <c r="I84" s="351">
        <v>0.3</v>
      </c>
      <c r="J84" s="332">
        <v>11.25</v>
      </c>
      <c r="K84" s="352">
        <v>300</v>
      </c>
      <c r="L84" s="353">
        <v>5</v>
      </c>
      <c r="M84" s="354">
        <v>1.25</v>
      </c>
    </row>
    <row r="85" spans="2:13">
      <c r="B85" s="291" t="s">
        <v>275</v>
      </c>
      <c r="H85" s="350" t="s">
        <v>236</v>
      </c>
      <c r="I85" s="351">
        <v>2.19</v>
      </c>
      <c r="J85" s="332">
        <v>4.4000000000000004</v>
      </c>
      <c r="K85" s="352">
        <v>300</v>
      </c>
      <c r="L85" s="353">
        <v>30</v>
      </c>
      <c r="M85" s="354">
        <v>6</v>
      </c>
    </row>
    <row r="86" spans="2:13">
      <c r="B86" s="291" t="s">
        <v>276</v>
      </c>
      <c r="H86" s="350" t="s">
        <v>236</v>
      </c>
      <c r="I86" s="351">
        <v>0</v>
      </c>
      <c r="J86" s="332">
        <v>3</v>
      </c>
      <c r="K86" s="352">
        <v>500</v>
      </c>
      <c r="L86" s="353">
        <v>0</v>
      </c>
      <c r="M86" s="354">
        <v>0</v>
      </c>
    </row>
    <row r="87" spans="2:13">
      <c r="B87" s="291" t="s">
        <v>277</v>
      </c>
      <c r="H87" s="350" t="s">
        <v>236</v>
      </c>
      <c r="I87" s="351">
        <v>0</v>
      </c>
      <c r="J87" s="332">
        <v>6.6</v>
      </c>
      <c r="K87" s="352">
        <v>300</v>
      </c>
      <c r="L87" s="353">
        <v>0</v>
      </c>
      <c r="M87" s="354">
        <v>0</v>
      </c>
    </row>
    <row r="88" spans="2:13">
      <c r="B88" s="291" t="s">
        <v>278</v>
      </c>
      <c r="H88" s="350" t="s">
        <v>236</v>
      </c>
      <c r="I88" s="351">
        <v>0</v>
      </c>
      <c r="J88" s="332">
        <v>3.08</v>
      </c>
      <c r="K88" s="352">
        <v>500</v>
      </c>
      <c r="L88" s="353">
        <v>0</v>
      </c>
      <c r="M88" s="354">
        <v>0</v>
      </c>
    </row>
    <row r="89" spans="2:13">
      <c r="B89" s="291" t="s">
        <v>279</v>
      </c>
      <c r="H89" s="350" t="s">
        <v>236</v>
      </c>
      <c r="I89" s="351">
        <v>4.68</v>
      </c>
      <c r="J89" s="332">
        <v>6.75</v>
      </c>
      <c r="K89" s="352">
        <v>400</v>
      </c>
      <c r="L89" s="353">
        <v>20</v>
      </c>
      <c r="M89" s="354">
        <v>15</v>
      </c>
    </row>
    <row r="90" spans="2:13">
      <c r="B90" s="291" t="s">
        <v>280</v>
      </c>
      <c r="H90" s="350" t="s">
        <v>236</v>
      </c>
      <c r="I90" s="351">
        <v>0.7</v>
      </c>
      <c r="J90" s="332">
        <v>4.5</v>
      </c>
      <c r="K90" s="352">
        <v>400</v>
      </c>
      <c r="L90" s="353">
        <v>3</v>
      </c>
      <c r="M90" s="354">
        <v>2.25</v>
      </c>
    </row>
    <row r="91" spans="2:13">
      <c r="B91" s="291" t="s">
        <v>281</v>
      </c>
      <c r="H91" s="350" t="s">
        <v>236</v>
      </c>
      <c r="I91" s="351">
        <v>0</v>
      </c>
      <c r="J91" s="332">
        <v>3</v>
      </c>
      <c r="K91" s="352">
        <v>500</v>
      </c>
      <c r="L91" s="353">
        <v>0</v>
      </c>
      <c r="M91" s="354">
        <v>0</v>
      </c>
    </row>
    <row r="92" spans="2:13">
      <c r="B92" s="291" t="s">
        <v>282</v>
      </c>
      <c r="H92" s="350" t="s">
        <v>236</v>
      </c>
      <c r="I92" s="351">
        <v>0</v>
      </c>
      <c r="J92" s="332">
        <v>6.6</v>
      </c>
      <c r="K92" s="352">
        <v>500</v>
      </c>
      <c r="L92" s="353">
        <v>0</v>
      </c>
      <c r="M92" s="354">
        <v>0</v>
      </c>
    </row>
    <row r="93" spans="2:13">
      <c r="H93" s="332"/>
      <c r="I93" s="332"/>
      <c r="J93" s="332"/>
      <c r="K93" s="332"/>
      <c r="L93" s="332"/>
      <c r="M93" s="332"/>
    </row>
    <row r="94" spans="2:13">
      <c r="H94" s="332"/>
      <c r="I94" s="332"/>
      <c r="J94" s="332"/>
      <c r="K94" s="332"/>
      <c r="L94" s="332"/>
      <c r="M94" s="332"/>
    </row>
    <row r="98" spans="3:24">
      <c r="G98" s="961" t="s">
        <v>452</v>
      </c>
      <c r="H98" s="963"/>
      <c r="I98" s="964"/>
      <c r="J98" s="961" t="s">
        <v>453</v>
      </c>
      <c r="K98" s="963"/>
      <c r="L98" s="963"/>
    </row>
    <row r="99" spans="3:24" ht="72" customHeight="1">
      <c r="G99" s="356" t="s">
        <v>459</v>
      </c>
      <c r="H99" s="356" t="s">
        <v>460</v>
      </c>
      <c r="I99" s="356" t="s">
        <v>461</v>
      </c>
      <c r="J99" s="356" t="s">
        <v>459</v>
      </c>
      <c r="K99" s="356" t="s">
        <v>460</v>
      </c>
      <c r="L99" s="356" t="s">
        <v>461</v>
      </c>
    </row>
    <row r="100" spans="3:24">
      <c r="C100" s="291" t="s">
        <v>455</v>
      </c>
      <c r="G100" s="955" t="s">
        <v>448</v>
      </c>
      <c r="H100" s="955"/>
      <c r="I100" s="955"/>
      <c r="J100" s="955"/>
      <c r="K100" s="955"/>
      <c r="L100" s="955"/>
      <c r="X100" s="357" t="s">
        <v>451</v>
      </c>
    </row>
    <row r="101" spans="3:24">
      <c r="C101" s="291" t="s">
        <v>427</v>
      </c>
      <c r="G101" s="315">
        <v>3.65</v>
      </c>
      <c r="H101" s="354">
        <v>2.75</v>
      </c>
      <c r="I101" s="354">
        <v>4.3</v>
      </c>
      <c r="J101" s="315">
        <v>1</v>
      </c>
      <c r="K101" s="354">
        <v>0.9</v>
      </c>
      <c r="L101" s="316">
        <v>1.05</v>
      </c>
      <c r="N101" s="358" t="s">
        <v>478</v>
      </c>
      <c r="O101" s="359" t="str">
        <f>ΥΠΟΛΟΓΙΣΜΟΙ!I13</f>
        <v>τυπικες τιμες προ ΚΘΚ, Umax απο ΚΘΚ ή ΚΕΝΑΚ</v>
      </c>
      <c r="P101" s="313"/>
      <c r="Q101" s="313"/>
      <c r="R101" s="313"/>
      <c r="S101" s="313"/>
      <c r="T101" s="314"/>
      <c r="X101" s="291" t="s">
        <v>448</v>
      </c>
    </row>
    <row r="102" spans="3:24">
      <c r="C102" s="291" t="s">
        <v>428</v>
      </c>
      <c r="G102" s="315">
        <v>3.4</v>
      </c>
      <c r="H102" s="354">
        <v>2.6</v>
      </c>
      <c r="I102" s="354" t="s">
        <v>236</v>
      </c>
      <c r="J102" s="315">
        <v>1</v>
      </c>
      <c r="K102" s="354">
        <v>0.9</v>
      </c>
      <c r="L102" s="316" t="s">
        <v>236</v>
      </c>
      <c r="N102" s="345" t="s">
        <v>479</v>
      </c>
      <c r="O102" s="350" t="str">
        <f>ΥΠΟΛΟΓΙΣΜΟΙ!I14</f>
        <v>κατακορυφο δομικο στοιχειο:</v>
      </c>
      <c r="P102" s="302"/>
      <c r="Q102" s="302"/>
      <c r="R102" s="302"/>
      <c r="S102" s="302"/>
      <c r="T102" s="321"/>
      <c r="X102" s="291" t="s">
        <v>433</v>
      </c>
    </row>
    <row r="103" spans="3:24">
      <c r="C103" s="291" t="s">
        <v>432</v>
      </c>
      <c r="G103" s="315">
        <v>2.4500000000000002</v>
      </c>
      <c r="H103" s="354">
        <v>2</v>
      </c>
      <c r="I103" s="354">
        <v>2.9</v>
      </c>
      <c r="J103" s="315">
        <v>0.9</v>
      </c>
      <c r="K103" s="354">
        <v>0.85</v>
      </c>
      <c r="L103" s="316">
        <v>0.95</v>
      </c>
      <c r="M103" s="360" t="s">
        <v>482</v>
      </c>
      <c r="N103" s="345" t="s">
        <v>480</v>
      </c>
      <c r="O103" s="350" t="str">
        <f>ΥΠΟΛΟΓΙΣΜΟΙ!I15</f>
        <v>θερμομονωση:</v>
      </c>
      <c r="P103" s="302"/>
      <c r="Q103" s="302"/>
      <c r="R103" s="302"/>
      <c r="S103" s="302"/>
      <c r="T103" s="321"/>
      <c r="X103" s="291" t="s">
        <v>434</v>
      </c>
    </row>
    <row r="104" spans="3:24">
      <c r="C104" s="291" t="s">
        <v>429</v>
      </c>
      <c r="G104" s="315">
        <v>2.9</v>
      </c>
      <c r="H104" s="354">
        <v>2.2999999999999998</v>
      </c>
      <c r="I104" s="354">
        <v>3.25</v>
      </c>
      <c r="J104" s="315">
        <v>0.9</v>
      </c>
      <c r="K104" s="354">
        <v>0.85</v>
      </c>
      <c r="L104" s="316">
        <v>0.95</v>
      </c>
      <c r="N104" s="361" t="s">
        <v>481</v>
      </c>
      <c r="O104" s="330" t="str">
        <f>ΥΠΟΛΟΓΙΣΜΟΙ!K15</f>
        <v>σε επαφη με:</v>
      </c>
      <c r="P104" s="318"/>
      <c r="Q104" s="318"/>
      <c r="R104" s="318"/>
      <c r="S104" s="318"/>
      <c r="T104" s="319"/>
      <c r="X104" s="291" t="s">
        <v>290</v>
      </c>
    </row>
    <row r="105" spans="3:24">
      <c r="C105" s="291" t="s">
        <v>430</v>
      </c>
      <c r="G105" s="315">
        <v>3.5</v>
      </c>
      <c r="H105" s="354">
        <v>2.0499999999999998</v>
      </c>
      <c r="I105" s="354">
        <v>4</v>
      </c>
      <c r="J105" s="315">
        <v>1</v>
      </c>
      <c r="K105" s="354">
        <v>0.9</v>
      </c>
      <c r="L105" s="316">
        <v>1.05</v>
      </c>
      <c r="X105" s="291" t="s">
        <v>435</v>
      </c>
    </row>
    <row r="106" spans="3:24">
      <c r="C106" s="291" t="s">
        <v>431</v>
      </c>
      <c r="G106" s="315">
        <v>2.0499999999999998</v>
      </c>
      <c r="H106" s="354">
        <v>1.75</v>
      </c>
      <c r="I106" s="354">
        <v>2.25</v>
      </c>
      <c r="J106" s="315">
        <v>0.8</v>
      </c>
      <c r="K106" s="354">
        <v>0.75</v>
      </c>
      <c r="L106" s="316">
        <v>0.85</v>
      </c>
      <c r="P106" s="362">
        <f>IF(O101=X109,INDEX(P131:R133,MATCH(O102,O131:O133,0),MATCH(O104,P130:R130,0)),0)</f>
        <v>0</v>
      </c>
      <c r="X106" s="291" t="s">
        <v>444</v>
      </c>
    </row>
    <row r="107" spans="3:24">
      <c r="C107" s="313" t="s">
        <v>455</v>
      </c>
      <c r="D107" s="313"/>
      <c r="E107" s="313"/>
      <c r="F107" s="313"/>
      <c r="G107" s="962" t="s">
        <v>433</v>
      </c>
      <c r="H107" s="962"/>
      <c r="I107" s="962"/>
      <c r="J107" s="962"/>
      <c r="K107" s="962"/>
      <c r="L107" s="962"/>
      <c r="P107" s="363">
        <f>IF(AND(O101=X101,O103=X112),INDEX(G101:I106,MATCH(O102,C101:C106,0),MATCH(O104,G99:I99,0)),0)</f>
        <v>0</v>
      </c>
      <c r="X107" s="291" t="s">
        <v>449</v>
      </c>
    </row>
    <row r="108" spans="3:24">
      <c r="C108" s="291" t="s">
        <v>427</v>
      </c>
      <c r="G108" s="315">
        <v>2.2999999999999998</v>
      </c>
      <c r="H108" s="354">
        <v>1.9</v>
      </c>
      <c r="I108" s="354">
        <v>2.5499999999999998</v>
      </c>
      <c r="J108" s="315">
        <v>0.85</v>
      </c>
      <c r="K108" s="354">
        <v>0.8</v>
      </c>
      <c r="L108" s="316">
        <v>0.9</v>
      </c>
      <c r="P108" s="363">
        <f>IF(AND(O101=X101,O103=X113),INDEX(J101:L106,MATCH(O102,C101:C106,0),MATCH(O104,J99:L99,0)),0)</f>
        <v>0</v>
      </c>
      <c r="X108" s="291" t="s">
        <v>450</v>
      </c>
    </row>
    <row r="109" spans="3:24">
      <c r="C109" s="291" t="s">
        <v>428</v>
      </c>
      <c r="G109" s="315">
        <v>2.2000000000000002</v>
      </c>
      <c r="H109" s="354">
        <v>1.85</v>
      </c>
      <c r="I109" s="354" t="s">
        <v>236</v>
      </c>
      <c r="J109" s="315">
        <v>0.85</v>
      </c>
      <c r="K109" s="354">
        <v>0.8</v>
      </c>
      <c r="L109" s="316" t="s">
        <v>236</v>
      </c>
      <c r="P109" s="363">
        <f>IF(AND(O101=X102,O103=X112),INDEX(G108:I113,MATCH(O102,C108:C113,0),MATCH(O104,G99:I99,0)),0)</f>
        <v>0</v>
      </c>
      <c r="X109" s="291" t="s">
        <v>483</v>
      </c>
    </row>
    <row r="110" spans="3:24">
      <c r="C110" s="291" t="s">
        <v>432</v>
      </c>
      <c r="G110" s="315">
        <v>1.9</v>
      </c>
      <c r="H110" s="354">
        <v>1.6</v>
      </c>
      <c r="I110" s="354">
        <v>2.0499999999999998</v>
      </c>
      <c r="J110" s="315">
        <v>0.8</v>
      </c>
      <c r="K110" s="354">
        <v>0.75</v>
      </c>
      <c r="L110" s="316">
        <v>0.85</v>
      </c>
      <c r="P110" s="363">
        <f>IF(AND(O101=X102,O103=X113),INDEX(J108:L113,MATCH(O102,C108:C113,0),MATCH(O104,J99:L99,0)),0)</f>
        <v>0</v>
      </c>
    </row>
    <row r="111" spans="3:24">
      <c r="C111" s="291" t="s">
        <v>429</v>
      </c>
      <c r="G111" s="315">
        <v>2.1</v>
      </c>
      <c r="H111" s="354">
        <v>1.75</v>
      </c>
      <c r="I111" s="354">
        <v>2.25</v>
      </c>
      <c r="J111" s="315">
        <v>0.8</v>
      </c>
      <c r="K111" s="354">
        <v>0.75</v>
      </c>
      <c r="L111" s="316">
        <v>0.85</v>
      </c>
      <c r="P111" s="363">
        <f>IF(AND(O101=X103,O103=X112),INDEX(G115:I120,MATCH(O102,C115:C120,0),MATCH(O104,G99:I99,0)),0)</f>
        <v>0</v>
      </c>
      <c r="X111" s="357" t="s">
        <v>454</v>
      </c>
    </row>
    <row r="112" spans="3:24">
      <c r="C112" s="291" t="s">
        <v>430</v>
      </c>
      <c r="G112" s="315">
        <v>2.25</v>
      </c>
      <c r="H112" s="354">
        <v>1.85</v>
      </c>
      <c r="I112" s="354">
        <v>2.4500000000000002</v>
      </c>
      <c r="J112" s="315">
        <v>0.85</v>
      </c>
      <c r="K112" s="354">
        <v>0.8</v>
      </c>
      <c r="L112" s="316">
        <v>0.85</v>
      </c>
      <c r="P112" s="363">
        <f>IF(AND(O101=X103,O103=X113),INDEX(J115:L120,MATCH(O102,C115:C120,0),MATCH(O104,J99:L99,0)),0)</f>
        <v>0</v>
      </c>
      <c r="X112" s="291" t="s">
        <v>458</v>
      </c>
    </row>
    <row r="113" spans="3:24">
      <c r="C113" s="291" t="s">
        <v>431</v>
      </c>
      <c r="G113" s="315">
        <v>1.55</v>
      </c>
      <c r="H113" s="354">
        <v>1.35</v>
      </c>
      <c r="I113" s="354">
        <v>1.65</v>
      </c>
      <c r="J113" s="315">
        <v>0.7</v>
      </c>
      <c r="K113" s="354">
        <v>0.7</v>
      </c>
      <c r="L113" s="316">
        <v>0.75</v>
      </c>
      <c r="P113" s="363">
        <f>IF(AND(O101=X104,O103=X112),INDEX(G122:I127,MATCH(O102,C122:C127,0),MATCH(O104,G99:I99,0)),0)</f>
        <v>0</v>
      </c>
      <c r="X113" s="291" t="s">
        <v>453</v>
      </c>
    </row>
    <row r="114" spans="3:24">
      <c r="C114" s="313" t="s">
        <v>455</v>
      </c>
      <c r="D114" s="313"/>
      <c r="E114" s="313"/>
      <c r="F114" s="313"/>
      <c r="G114" s="962" t="s">
        <v>434</v>
      </c>
      <c r="H114" s="962"/>
      <c r="I114" s="962"/>
      <c r="J114" s="962"/>
      <c r="K114" s="962"/>
      <c r="L114" s="962"/>
      <c r="P114" s="363">
        <f>IF(AND(O101=X104,O103=X113),INDEX(J122:L127,MATCH(O102,C122:C127,0),MATCH(O104,J99:L99,0)),0)</f>
        <v>0</v>
      </c>
    </row>
    <row r="115" spans="3:24">
      <c r="C115" s="291" t="s">
        <v>427</v>
      </c>
      <c r="G115" s="315">
        <v>3.25</v>
      </c>
      <c r="H115" s="354">
        <v>2.5</v>
      </c>
      <c r="I115" s="354">
        <v>3.75</v>
      </c>
      <c r="J115" s="315">
        <v>0.95</v>
      </c>
      <c r="K115" s="354">
        <v>0.9</v>
      </c>
      <c r="L115" s="316">
        <v>1</v>
      </c>
      <c r="P115" s="363">
        <f>IF(AND(O101=X105,O103=X112),INDEX(G129:I136,MATCH(O102,C129:C136,0),MATCH(O104,G99:I99,0)),0)</f>
        <v>0</v>
      </c>
      <c r="X115" s="357" t="s">
        <v>457</v>
      </c>
    </row>
    <row r="116" spans="3:24">
      <c r="C116" s="291" t="s">
        <v>428</v>
      </c>
      <c r="G116" s="315">
        <v>3.05</v>
      </c>
      <c r="H116" s="354">
        <v>2.4</v>
      </c>
      <c r="I116" s="354" t="s">
        <v>236</v>
      </c>
      <c r="J116" s="315">
        <v>0.95</v>
      </c>
      <c r="K116" s="354">
        <v>0.85</v>
      </c>
      <c r="L116" s="316" t="s">
        <v>236</v>
      </c>
      <c r="P116" s="363">
        <f>IF(AND(O101=X105,O103=X113),INDEX(J129:L136,MATCH(O102,C129:C136,0),MATCH(O104,J99:L99,0)),0)</f>
        <v>0</v>
      </c>
      <c r="X116" s="291" t="s">
        <v>459</v>
      </c>
    </row>
    <row r="117" spans="3:24">
      <c r="C117" s="291" t="s">
        <v>432</v>
      </c>
      <c r="G117" s="315">
        <v>2.5</v>
      </c>
      <c r="H117" s="354">
        <v>2</v>
      </c>
      <c r="I117" s="354">
        <v>2.75</v>
      </c>
      <c r="J117" s="315">
        <v>0.85</v>
      </c>
      <c r="K117" s="354">
        <v>0.8</v>
      </c>
      <c r="L117" s="316">
        <v>0.9</v>
      </c>
      <c r="P117" s="363">
        <f>IF(AND(O101=X106,O103=X112),INDEX(G138:I140,MATCH(O102,C138:C140,0),MATCH(O104,G99:I99,0)),0)</f>
        <v>0</v>
      </c>
      <c r="X117" s="291" t="s">
        <v>460</v>
      </c>
    </row>
    <row r="118" spans="3:24">
      <c r="C118" s="291" t="s">
        <v>429</v>
      </c>
      <c r="G118" s="315">
        <v>2.8</v>
      </c>
      <c r="H118" s="354">
        <v>2.25</v>
      </c>
      <c r="I118" s="354">
        <v>3.2</v>
      </c>
      <c r="J118" s="315">
        <v>0.9</v>
      </c>
      <c r="K118" s="354">
        <v>0.85</v>
      </c>
      <c r="L118" s="316">
        <v>0.95</v>
      </c>
      <c r="P118" s="363">
        <f>IF(AND(O101=X106,O103=X113),INDEX(J138:L140,MATCH(O102,C138:C140,0),MATCH(O104,J99:L99,0)),0)</f>
        <v>0</v>
      </c>
      <c r="X118" s="291" t="s">
        <v>461</v>
      </c>
    </row>
    <row r="119" spans="3:24">
      <c r="C119" s="291" t="s">
        <v>430</v>
      </c>
      <c r="G119" s="315">
        <v>3.1</v>
      </c>
      <c r="H119" s="354">
        <v>2.4</v>
      </c>
      <c r="I119" s="354">
        <v>3.55</v>
      </c>
      <c r="J119" s="315">
        <v>0.95</v>
      </c>
      <c r="K119" s="354">
        <v>0.85</v>
      </c>
      <c r="L119" s="316">
        <v>1</v>
      </c>
      <c r="P119" s="363">
        <f>IF(O101=X107,INDEX(K144:M147,MATCH(O102,C144:C147,0),MATCH(O103,K143:M143,0)),0)</f>
        <v>0</v>
      </c>
    </row>
    <row r="120" spans="3:24">
      <c r="C120" s="291" t="s">
        <v>431</v>
      </c>
      <c r="G120" s="315">
        <v>1.9</v>
      </c>
      <c r="H120" s="354">
        <v>1.65</v>
      </c>
      <c r="I120" s="354">
        <v>2.0499999999999998</v>
      </c>
      <c r="J120" s="315">
        <v>0.8</v>
      </c>
      <c r="K120" s="354">
        <v>0.75</v>
      </c>
      <c r="L120" s="316">
        <v>0.85</v>
      </c>
      <c r="P120" s="364">
        <f>IF(O101=X108,INDEX(K152:N156,MATCH(O102,C152:C156,0),MATCH(O103,K151:N151,0)),0)</f>
        <v>0</v>
      </c>
    </row>
    <row r="121" spans="3:24">
      <c r="C121" s="313" t="s">
        <v>455</v>
      </c>
      <c r="D121" s="313"/>
      <c r="E121" s="313"/>
      <c r="F121" s="313"/>
      <c r="G121" s="962" t="s">
        <v>290</v>
      </c>
      <c r="H121" s="962"/>
      <c r="I121" s="962"/>
      <c r="J121" s="962"/>
      <c r="K121" s="962"/>
      <c r="L121" s="962"/>
      <c r="P121" s="364">
        <f>IFERROR(SUM(P106:P120),"-")</f>
        <v>0</v>
      </c>
    </row>
    <row r="122" spans="3:24">
      <c r="C122" s="291" t="s">
        <v>427</v>
      </c>
      <c r="G122" s="315">
        <v>4.25</v>
      </c>
      <c r="H122" s="354">
        <v>3.1</v>
      </c>
      <c r="I122" s="354">
        <v>5</v>
      </c>
      <c r="J122" s="315">
        <v>1.05</v>
      </c>
      <c r="K122" s="354">
        <v>0.95</v>
      </c>
      <c r="L122" s="316">
        <v>1.1000000000000001</v>
      </c>
      <c r="P122" s="332"/>
    </row>
    <row r="123" spans="3:24">
      <c r="C123" s="291" t="s">
        <v>428</v>
      </c>
      <c r="G123" s="315">
        <v>3.85</v>
      </c>
      <c r="H123" s="354">
        <v>2.85</v>
      </c>
      <c r="I123" s="354" t="s">
        <v>236</v>
      </c>
      <c r="J123" s="315">
        <v>1</v>
      </c>
      <c r="K123" s="354">
        <v>0.95</v>
      </c>
      <c r="L123" s="316" t="s">
        <v>236</v>
      </c>
      <c r="P123" s="332"/>
    </row>
    <row r="124" spans="3:24">
      <c r="C124" s="291" t="s">
        <v>432</v>
      </c>
      <c r="G124" s="315">
        <v>2.85</v>
      </c>
      <c r="H124" s="354">
        <v>2.2999999999999998</v>
      </c>
      <c r="I124" s="354">
        <v>3.25</v>
      </c>
      <c r="J124" s="315">
        <v>0.9</v>
      </c>
      <c r="K124" s="354">
        <v>0.85</v>
      </c>
      <c r="L124" s="316">
        <v>0.95</v>
      </c>
      <c r="P124" s="332"/>
    </row>
    <row r="125" spans="3:24">
      <c r="C125" s="291" t="s">
        <v>429</v>
      </c>
      <c r="G125" s="315" t="s">
        <v>236</v>
      </c>
      <c r="H125" s="354" t="s">
        <v>236</v>
      </c>
      <c r="I125" s="354" t="s">
        <v>236</v>
      </c>
      <c r="J125" s="315" t="s">
        <v>236</v>
      </c>
      <c r="K125" s="354" t="s">
        <v>236</v>
      </c>
      <c r="L125" s="316" t="s">
        <v>236</v>
      </c>
      <c r="P125" s="332"/>
    </row>
    <row r="126" spans="3:24">
      <c r="C126" s="291" t="s">
        <v>430</v>
      </c>
      <c r="G126" s="315">
        <v>4.0999999999999996</v>
      </c>
      <c r="H126" s="354">
        <v>3</v>
      </c>
      <c r="I126" s="354">
        <v>4.95</v>
      </c>
      <c r="J126" s="315">
        <v>1</v>
      </c>
      <c r="K126" s="354">
        <v>0.95</v>
      </c>
      <c r="L126" s="316">
        <v>1.05</v>
      </c>
      <c r="P126" s="332"/>
    </row>
    <row r="127" spans="3:24">
      <c r="C127" s="291" t="s">
        <v>431</v>
      </c>
      <c r="G127" s="315">
        <v>2.2999999999999998</v>
      </c>
      <c r="H127" s="354">
        <v>1.95</v>
      </c>
      <c r="I127" s="354">
        <v>2.6</v>
      </c>
      <c r="J127" s="315">
        <v>0.85</v>
      </c>
      <c r="K127" s="354">
        <v>0.8</v>
      </c>
      <c r="L127" s="316">
        <v>0.9</v>
      </c>
      <c r="P127" s="332"/>
    </row>
    <row r="128" spans="3:24">
      <c r="C128" s="313" t="s">
        <v>456</v>
      </c>
      <c r="D128" s="313"/>
      <c r="E128" s="313"/>
      <c r="F128" s="313"/>
      <c r="G128" s="962" t="s">
        <v>435</v>
      </c>
      <c r="H128" s="962"/>
      <c r="I128" s="962"/>
      <c r="J128" s="962"/>
      <c r="K128" s="962"/>
      <c r="L128" s="962"/>
      <c r="P128" s="332"/>
    </row>
    <row r="129" spans="3:21">
      <c r="C129" s="291" t="s">
        <v>436</v>
      </c>
      <c r="G129" s="315">
        <v>3.05</v>
      </c>
      <c r="H129" s="354" t="s">
        <v>236</v>
      </c>
      <c r="I129" s="354" t="s">
        <v>236</v>
      </c>
      <c r="J129" s="315">
        <v>0.95</v>
      </c>
      <c r="K129" s="354" t="s">
        <v>236</v>
      </c>
      <c r="L129" s="316" t="s">
        <v>236</v>
      </c>
      <c r="P129" s="332"/>
    </row>
    <row r="130" spans="3:21">
      <c r="C130" s="291" t="s">
        <v>437</v>
      </c>
      <c r="G130" s="315" t="s">
        <v>236</v>
      </c>
      <c r="H130" s="354" t="s">
        <v>236</v>
      </c>
      <c r="I130" s="354" t="s">
        <v>236</v>
      </c>
      <c r="J130" s="315">
        <v>0.95</v>
      </c>
      <c r="K130" s="354" t="s">
        <v>236</v>
      </c>
      <c r="L130" s="316" t="s">
        <v>236</v>
      </c>
      <c r="O130" s="291" t="s">
        <v>484</v>
      </c>
      <c r="P130" s="291" t="s">
        <v>459</v>
      </c>
      <c r="Q130" s="291" t="s">
        <v>460</v>
      </c>
      <c r="R130" s="291" t="s">
        <v>461</v>
      </c>
    </row>
    <row r="131" spans="3:21">
      <c r="C131" s="291" t="s">
        <v>438</v>
      </c>
      <c r="G131" s="315" t="s">
        <v>236</v>
      </c>
      <c r="H131" s="354">
        <v>3.7</v>
      </c>
      <c r="I131" s="354" t="s">
        <v>236</v>
      </c>
      <c r="J131" s="315">
        <v>1</v>
      </c>
      <c r="K131" s="354" t="s">
        <v>236</v>
      </c>
      <c r="L131" s="316" t="s">
        <v>236</v>
      </c>
      <c r="O131" s="291" t="s">
        <v>485</v>
      </c>
      <c r="P131" s="354">
        <v>6</v>
      </c>
      <c r="Q131" s="354">
        <v>4</v>
      </c>
      <c r="R131" s="365" t="s">
        <v>236</v>
      </c>
    </row>
    <row r="132" spans="3:21">
      <c r="C132" s="291" t="s">
        <v>439</v>
      </c>
      <c r="G132" s="315">
        <v>1.2</v>
      </c>
      <c r="H132" s="354" t="s">
        <v>236</v>
      </c>
      <c r="I132" s="354" t="s">
        <v>236</v>
      </c>
      <c r="J132" s="315">
        <v>0.7</v>
      </c>
      <c r="K132" s="354" t="s">
        <v>236</v>
      </c>
      <c r="L132" s="316" t="s">
        <v>236</v>
      </c>
      <c r="O132" s="291" t="s">
        <v>486</v>
      </c>
      <c r="P132" s="354">
        <v>3.5</v>
      </c>
      <c r="Q132" s="354">
        <v>2.7</v>
      </c>
      <c r="R132" s="365" t="s">
        <v>236</v>
      </c>
    </row>
    <row r="133" spans="3:21">
      <c r="C133" s="291" t="s">
        <v>440</v>
      </c>
      <c r="G133" s="315">
        <v>3.7</v>
      </c>
      <c r="H133" s="354" t="s">
        <v>236</v>
      </c>
      <c r="I133" s="354" t="s">
        <v>236</v>
      </c>
      <c r="J133" s="315">
        <v>1</v>
      </c>
      <c r="K133" s="354" t="s">
        <v>236</v>
      </c>
      <c r="L133" s="316" t="s">
        <v>236</v>
      </c>
      <c r="O133" s="291" t="s">
        <v>487</v>
      </c>
      <c r="P133" s="354">
        <v>3.5</v>
      </c>
      <c r="Q133" s="354">
        <v>2.7</v>
      </c>
      <c r="R133" s="365" t="s">
        <v>236</v>
      </c>
    </row>
    <row r="134" spans="3:21">
      <c r="C134" s="291" t="s">
        <v>441</v>
      </c>
      <c r="G134" s="315" t="s">
        <v>236</v>
      </c>
      <c r="H134" s="354">
        <v>2.9</v>
      </c>
      <c r="I134" s="354" t="s">
        <v>236</v>
      </c>
      <c r="J134" s="315" t="s">
        <v>236</v>
      </c>
      <c r="K134" s="354">
        <v>0.9</v>
      </c>
      <c r="L134" s="316" t="s">
        <v>236</v>
      </c>
    </row>
    <row r="135" spans="3:21">
      <c r="C135" s="291" t="s">
        <v>442</v>
      </c>
      <c r="G135" s="315">
        <v>4.7</v>
      </c>
      <c r="H135" s="354" t="s">
        <v>236</v>
      </c>
      <c r="I135" s="354" t="s">
        <v>236</v>
      </c>
      <c r="J135" s="315">
        <v>1.05</v>
      </c>
      <c r="K135" s="354" t="s">
        <v>236</v>
      </c>
      <c r="L135" s="316" t="s">
        <v>236</v>
      </c>
    </row>
    <row r="136" spans="3:21">
      <c r="C136" s="291" t="s">
        <v>443</v>
      </c>
      <c r="G136" s="315">
        <v>4.25</v>
      </c>
      <c r="H136" s="354" t="s">
        <v>236</v>
      </c>
      <c r="I136" s="354" t="s">
        <v>236</v>
      </c>
      <c r="J136" s="315">
        <v>1</v>
      </c>
      <c r="K136" s="354" t="s">
        <v>236</v>
      </c>
      <c r="L136" s="316" t="s">
        <v>236</v>
      </c>
    </row>
    <row r="137" spans="3:21">
      <c r="C137" s="313" t="s">
        <v>456</v>
      </c>
      <c r="D137" s="313"/>
      <c r="E137" s="313"/>
      <c r="F137" s="313"/>
      <c r="G137" s="962" t="s">
        <v>444</v>
      </c>
      <c r="H137" s="962"/>
      <c r="I137" s="962"/>
      <c r="J137" s="962"/>
      <c r="K137" s="962"/>
      <c r="L137" s="962"/>
    </row>
    <row r="138" spans="3:21">
      <c r="C138" s="291" t="s">
        <v>445</v>
      </c>
      <c r="G138" s="315">
        <v>2.75</v>
      </c>
      <c r="H138" s="354" t="s">
        <v>236</v>
      </c>
      <c r="I138" s="354" t="s">
        <v>236</v>
      </c>
      <c r="J138" s="315">
        <v>0.9</v>
      </c>
      <c r="K138" s="354" t="s">
        <v>236</v>
      </c>
      <c r="L138" s="316" t="s">
        <v>236</v>
      </c>
    </row>
    <row r="139" spans="3:21">
      <c r="C139" s="291" t="s">
        <v>446</v>
      </c>
      <c r="G139" s="315" t="s">
        <v>236</v>
      </c>
      <c r="H139" s="354" t="s">
        <v>236</v>
      </c>
      <c r="I139" s="354">
        <v>3.1</v>
      </c>
      <c r="J139" s="315" t="s">
        <v>236</v>
      </c>
      <c r="K139" s="354" t="s">
        <v>236</v>
      </c>
      <c r="L139" s="316">
        <v>0.95</v>
      </c>
    </row>
    <row r="140" spans="3:21">
      <c r="C140" s="291" t="s">
        <v>447</v>
      </c>
      <c r="G140" s="315" t="s">
        <v>236</v>
      </c>
      <c r="H140" s="354">
        <v>2</v>
      </c>
      <c r="I140" s="354" t="s">
        <v>236</v>
      </c>
      <c r="J140" s="315" t="s">
        <v>236</v>
      </c>
      <c r="K140" s="354">
        <v>0.8</v>
      </c>
      <c r="L140" s="316" t="s">
        <v>236</v>
      </c>
      <c r="Q140" s="291" t="s">
        <v>526</v>
      </c>
    </row>
    <row r="141" spans="3:21">
      <c r="Q141" s="291" t="s">
        <v>663</v>
      </c>
    </row>
    <row r="142" spans="3:21">
      <c r="K142" s="955" t="s">
        <v>467</v>
      </c>
      <c r="L142" s="955"/>
      <c r="M142" s="955"/>
      <c r="Q142" s="291" t="s">
        <v>664</v>
      </c>
    </row>
    <row r="143" spans="3:21">
      <c r="C143" s="291" t="s">
        <v>466</v>
      </c>
      <c r="K143" s="366" t="s">
        <v>472</v>
      </c>
      <c r="L143" s="366" t="s">
        <v>473</v>
      </c>
      <c r="M143" s="366" t="s">
        <v>474</v>
      </c>
      <c r="N143" s="405"/>
      <c r="Q143" s="291" t="s">
        <v>826</v>
      </c>
    </row>
    <row r="144" spans="3:21">
      <c r="C144" s="291" t="s">
        <v>462</v>
      </c>
      <c r="K144" s="367">
        <v>0.5</v>
      </c>
      <c r="L144" s="367">
        <v>0.5</v>
      </c>
      <c r="M144" s="367">
        <v>0.5</v>
      </c>
      <c r="N144" s="405"/>
      <c r="R144" s="291" t="s">
        <v>824</v>
      </c>
      <c r="S144" s="291" t="s">
        <v>663</v>
      </c>
      <c r="T144" s="291" t="s">
        <v>664</v>
      </c>
      <c r="U144" s="291" t="s">
        <v>826</v>
      </c>
    </row>
    <row r="145" spans="3:21">
      <c r="C145" s="291" t="s">
        <v>463</v>
      </c>
      <c r="K145" s="367">
        <v>0.7</v>
      </c>
      <c r="L145" s="367">
        <v>0.7</v>
      </c>
      <c r="M145" s="367">
        <v>0.7</v>
      </c>
      <c r="N145" s="405"/>
      <c r="Q145" s="968"/>
      <c r="R145" s="291" t="s">
        <v>665</v>
      </c>
      <c r="S145" s="405" t="s">
        <v>527</v>
      </c>
      <c r="T145" s="405" t="s">
        <v>667</v>
      </c>
      <c r="U145" s="291" t="s">
        <v>668</v>
      </c>
    </row>
    <row r="146" spans="3:21">
      <c r="C146" s="291" t="s">
        <v>464</v>
      </c>
      <c r="K146" s="367">
        <v>3</v>
      </c>
      <c r="L146" s="367">
        <v>1.9</v>
      </c>
      <c r="M146" s="367">
        <v>0.7</v>
      </c>
      <c r="N146" s="405"/>
      <c r="Q146" s="968"/>
      <c r="R146" s="291" t="s">
        <v>666</v>
      </c>
      <c r="S146" s="405" t="s">
        <v>528</v>
      </c>
      <c r="T146" s="405" t="s">
        <v>668</v>
      </c>
      <c r="U146" s="291" t="s">
        <v>669</v>
      </c>
    </row>
    <row r="147" spans="3:21">
      <c r="C147" s="291" t="s">
        <v>465</v>
      </c>
      <c r="K147" s="367">
        <v>3</v>
      </c>
      <c r="L147" s="367">
        <v>1.9</v>
      </c>
      <c r="M147" s="367">
        <v>0.7</v>
      </c>
      <c r="N147" s="405"/>
      <c r="Q147" s="968"/>
      <c r="S147" s="405"/>
      <c r="T147" s="405"/>
    </row>
    <row r="148" spans="3:21">
      <c r="K148" s="405"/>
      <c r="L148" s="405"/>
      <c r="M148" s="405"/>
      <c r="N148" s="405"/>
      <c r="Q148" s="968"/>
      <c r="S148" s="405"/>
      <c r="T148" s="405"/>
    </row>
    <row r="149" spans="3:21">
      <c r="K149" s="405"/>
      <c r="L149" s="405"/>
      <c r="M149" s="405"/>
      <c r="N149" s="405"/>
      <c r="Q149" s="456" t="s">
        <v>825</v>
      </c>
      <c r="S149" s="405"/>
      <c r="T149" s="405"/>
    </row>
    <row r="150" spans="3:21">
      <c r="K150" s="405"/>
      <c r="L150" s="405"/>
      <c r="M150" s="405"/>
      <c r="N150" s="405"/>
      <c r="Q150" s="368"/>
    </row>
    <row r="151" spans="3:21">
      <c r="C151" s="291" t="s">
        <v>468</v>
      </c>
      <c r="K151" s="366" t="s">
        <v>472</v>
      </c>
      <c r="L151" s="366" t="s">
        <v>473</v>
      </c>
      <c r="M151" s="366" t="s">
        <v>474</v>
      </c>
      <c r="N151" s="366" t="s">
        <v>475</v>
      </c>
      <c r="Q151" s="369">
        <f>ΥΠΟΛΟΓΙΣΜΟΙ!F9</f>
        <v>0</v>
      </c>
    </row>
    <row r="152" spans="3:21">
      <c r="C152" s="291" t="s">
        <v>469</v>
      </c>
      <c r="K152" s="354">
        <v>0.5</v>
      </c>
      <c r="L152" s="354">
        <v>0.45</v>
      </c>
      <c r="M152" s="354">
        <v>0.4</v>
      </c>
      <c r="N152" s="354">
        <v>0.35</v>
      </c>
      <c r="Q152" s="332" t="str">
        <f>ΥΠΟΛΟΓΙΣΜΟΙ!H13</f>
        <v>αρ.οροφ.</v>
      </c>
      <c r="S152" s="291" t="str">
        <f>IFERROR(INDEX(S145:U146,MATCH(Q153,R145:R146,0),MATCH(Q152,S144:U144,0)),"-")</f>
        <v>-</v>
      </c>
    </row>
    <row r="153" spans="3:21">
      <c r="C153" s="291" t="s">
        <v>463</v>
      </c>
      <c r="K153" s="354">
        <v>0.6</v>
      </c>
      <c r="L153" s="354">
        <v>0.5</v>
      </c>
      <c r="M153" s="354">
        <v>0.45</v>
      </c>
      <c r="N153" s="354">
        <v>0.4</v>
      </c>
      <c r="Q153" s="332" t="str">
        <f>ΥΠΟΛΟΓΙΣΜΟΙ!H14</f>
        <v>ετος:</v>
      </c>
    </row>
    <row r="154" spans="3:21">
      <c r="C154" s="291" t="s">
        <v>470</v>
      </c>
      <c r="K154" s="354">
        <v>0.5</v>
      </c>
      <c r="L154" s="354">
        <v>0.45</v>
      </c>
      <c r="M154" s="354">
        <v>0.4</v>
      </c>
      <c r="N154" s="354">
        <v>0.35</v>
      </c>
    </row>
    <row r="155" spans="3:21">
      <c r="C155" s="291" t="s">
        <v>464</v>
      </c>
      <c r="K155" s="354">
        <v>1.2</v>
      </c>
      <c r="L155" s="354">
        <v>0.9</v>
      </c>
      <c r="M155" s="354">
        <v>0.75</v>
      </c>
      <c r="N155" s="354">
        <v>0.7</v>
      </c>
    </row>
    <row r="156" spans="3:21">
      <c r="C156" s="291" t="s">
        <v>465</v>
      </c>
      <c r="K156" s="354">
        <v>1.5</v>
      </c>
      <c r="L156" s="354">
        <v>1</v>
      </c>
      <c r="M156" s="354">
        <v>0.8</v>
      </c>
      <c r="N156" s="354">
        <v>0.7</v>
      </c>
    </row>
    <row r="157" spans="3:21">
      <c r="K157" s="405"/>
      <c r="L157" s="405"/>
      <c r="M157" s="405"/>
      <c r="N157" s="405"/>
    </row>
    <row r="160" spans="3:21">
      <c r="C160" s="357" t="s">
        <v>495</v>
      </c>
      <c r="E160" s="405" t="s">
        <v>496</v>
      </c>
      <c r="G160" s="312" t="s">
        <v>514</v>
      </c>
      <c r="H160" s="314"/>
      <c r="I160" s="359" t="str">
        <f>ΥΠΟΛΟΓΙΣΜΟΙ!L42</f>
        <v>πόρτες:</v>
      </c>
      <c r="J160" s="313"/>
      <c r="K160" s="314"/>
    </row>
    <row r="161" spans="3:17">
      <c r="C161" s="291" t="s">
        <v>491</v>
      </c>
      <c r="E161" s="354">
        <v>7</v>
      </c>
      <c r="G161" s="320" t="s">
        <v>515</v>
      </c>
      <c r="H161" s="321"/>
      <c r="I161" s="329">
        <f>ΥΠΟΛΟΓΙΣΜΟΙ!J44</f>
        <v>0</v>
      </c>
      <c r="J161" s="370">
        <f>IF(I161="Αναλ.",N175,I161)</f>
        <v>0</v>
      </c>
      <c r="K161" s="321"/>
    </row>
    <row r="162" spans="3:17">
      <c r="C162" s="291" t="s">
        <v>492</v>
      </c>
      <c r="E162" s="354">
        <v>3.5</v>
      </c>
      <c r="G162" s="317" t="s">
        <v>516</v>
      </c>
      <c r="H162" s="319"/>
      <c r="I162" s="330">
        <f>ΥΠΟΛΟΓΙΣΜΟΙ!H42</f>
        <v>0</v>
      </c>
      <c r="J162" s="318"/>
      <c r="K162" s="319"/>
    </row>
    <row r="163" spans="3:17">
      <c r="C163" s="291" t="s">
        <v>493</v>
      </c>
      <c r="E163" s="354">
        <v>2.8</v>
      </c>
    </row>
    <row r="164" spans="3:17">
      <c r="C164" s="291" t="s">
        <v>486</v>
      </c>
      <c r="E164" s="354">
        <v>2.8</v>
      </c>
      <c r="I164" s="312" t="s">
        <v>518</v>
      </c>
      <c r="J164" s="406" t="e">
        <f>INDEX(E161:E165,MATCH(I160,C161:C165,0))</f>
        <v>#N/A</v>
      </c>
      <c r="K164" s="313" t="s">
        <v>523</v>
      </c>
      <c r="L164" s="371">
        <f>IF(I161&gt;60,0,450-75*(I161/10))</f>
        <v>450</v>
      </c>
      <c r="M164" s="291" t="s">
        <v>524</v>
      </c>
    </row>
    <row r="165" spans="3:17">
      <c r="C165" s="291" t="s">
        <v>494</v>
      </c>
      <c r="E165" s="354">
        <v>2.2000000000000002</v>
      </c>
      <c r="I165" s="320" t="s">
        <v>519</v>
      </c>
      <c r="J165" s="372" t="e">
        <f>INDEX(F179:F186,MATCH(I162,C179:C186,0))</f>
        <v>#N/A</v>
      </c>
      <c r="K165" s="373" t="s">
        <v>517</v>
      </c>
      <c r="L165" s="316" t="str">
        <f>IFERROR(IF(I161="Αναλ.",N178,(I161*J164+(100-I161)*J165+J166*L164)/100)," ")</f>
        <v xml:space="preserve"> </v>
      </c>
    </row>
    <row r="166" spans="3:17">
      <c r="I166" s="317" t="s">
        <v>520</v>
      </c>
      <c r="J166" s="374" t="e">
        <f>IF(I162=C179,0,IF(OR(I162=C184,I162=C185),INDEX(F170:F174,MATCH(I160,C170:C174,0)),INDEX(E170:E174,MATCH(I160,C170:C174,0))))</f>
        <v>#N/A</v>
      </c>
      <c r="K166" s="318"/>
      <c r="L166" s="319"/>
    </row>
    <row r="168" spans="3:17">
      <c r="I168" s="375" t="s">
        <v>522</v>
      </c>
      <c r="J168" s="354" t="e">
        <f>INDEX(I179:I186,MATCH(I162,C179:C186,0))</f>
        <v>#N/A</v>
      </c>
      <c r="K168" s="375" t="s">
        <v>521</v>
      </c>
      <c r="L168" s="354" t="str">
        <f>IFERROR(J168*(100-J161)/100," ")</f>
        <v xml:space="preserve"> </v>
      </c>
    </row>
    <row r="169" spans="3:17" ht="43.2" customHeight="1" thickBot="1">
      <c r="C169" s="357" t="s">
        <v>495</v>
      </c>
      <c r="E169" s="376" t="s">
        <v>497</v>
      </c>
      <c r="F169" s="376" t="s">
        <v>498</v>
      </c>
    </row>
    <row r="170" spans="3:17" ht="15" thickTop="1">
      <c r="C170" s="291" t="s">
        <v>491</v>
      </c>
      <c r="E170" s="354">
        <v>0.02</v>
      </c>
      <c r="F170" s="354">
        <v>0.05</v>
      </c>
      <c r="I170" s="956" t="s">
        <v>652</v>
      </c>
      <c r="J170" s="957"/>
      <c r="K170" s="958" t="s">
        <v>649</v>
      </c>
      <c r="L170" s="958"/>
      <c r="M170" s="377" t="e">
        <f>ΥΠΟΛΟΓΙΣΜΟΙ!#REF!</f>
        <v>#REF!</v>
      </c>
      <c r="N170" s="378" t="e">
        <f>ΥΠΟΛΟΓΙΣΜΟΙ!#REF!</f>
        <v>#REF!</v>
      </c>
    </row>
    <row r="171" spans="3:17" ht="15" thickBot="1">
      <c r="C171" s="291" t="s">
        <v>492</v>
      </c>
      <c r="E171" s="354">
        <v>0.08</v>
      </c>
      <c r="F171" s="354">
        <v>0.11</v>
      </c>
      <c r="I171" s="959" t="s">
        <v>650</v>
      </c>
      <c r="J171" s="960"/>
      <c r="K171" s="379">
        <f>ΥΠΟΛΟΓΙΣΜΟΙ!Q42</f>
        <v>0</v>
      </c>
      <c r="L171" s="408" t="s">
        <v>651</v>
      </c>
      <c r="M171" s="379" t="str">
        <f>ΥΠΟΛΟΓΙΣΜΟΙ!S42</f>
        <v>τ.μ.  Χ</v>
      </c>
      <c r="N171" s="380" t="str">
        <f>ΥΠΟΛΟΓΙΣΜΟΙ!T42</f>
        <v>0</v>
      </c>
    </row>
    <row r="172" spans="3:17" ht="15" thickTop="1">
      <c r="C172" s="291" t="s">
        <v>493</v>
      </c>
      <c r="E172" s="354">
        <v>0.08</v>
      </c>
      <c r="F172" s="354">
        <v>0.11</v>
      </c>
    </row>
    <row r="173" spans="3:17">
      <c r="C173" s="291" t="s">
        <v>486</v>
      </c>
      <c r="E173" s="354">
        <v>0.06</v>
      </c>
      <c r="F173" s="354">
        <v>0.08</v>
      </c>
      <c r="K173" s="291" t="s">
        <v>653</v>
      </c>
      <c r="N173" s="291" t="e">
        <f>M170*N170</f>
        <v>#REF!</v>
      </c>
    </row>
    <row r="174" spans="3:17">
      <c r="C174" s="291" t="s">
        <v>494</v>
      </c>
      <c r="E174" s="354">
        <v>0.06</v>
      </c>
      <c r="F174" s="354">
        <v>0.08</v>
      </c>
      <c r="K174" s="291" t="s">
        <v>654</v>
      </c>
      <c r="N174" s="291" t="e">
        <f>K171*M171*N171</f>
        <v>#VALUE!</v>
      </c>
      <c r="O174" s="291" t="s">
        <v>656</v>
      </c>
      <c r="Q174" s="291" t="e">
        <f>N173-N174</f>
        <v>#REF!</v>
      </c>
    </row>
    <row r="175" spans="3:17">
      <c r="E175" s="354"/>
      <c r="F175" s="354"/>
      <c r="K175" s="291" t="s">
        <v>657</v>
      </c>
      <c r="N175" s="332" t="e">
        <f>100*Q174/N173</f>
        <v>#REF!</v>
      </c>
    </row>
    <row r="176" spans="3:17">
      <c r="K176" s="291" t="s">
        <v>655</v>
      </c>
      <c r="N176" s="291" t="e">
        <f>K171*(2*M171+2*N171)</f>
        <v>#VALUE!</v>
      </c>
    </row>
    <row r="178" spans="3:15">
      <c r="C178" s="357" t="s">
        <v>499</v>
      </c>
      <c r="F178" s="331" t="s">
        <v>507</v>
      </c>
      <c r="G178" s="357"/>
      <c r="H178" s="331" t="s">
        <v>508</v>
      </c>
      <c r="I178" s="331" t="s">
        <v>509</v>
      </c>
      <c r="J178" s="331" t="s">
        <v>510</v>
      </c>
      <c r="M178" s="381" t="s">
        <v>517</v>
      </c>
      <c r="N178" s="382" t="e">
        <f>(Q174*J164+N174*J165+N176*J166)/N173</f>
        <v>#REF!</v>
      </c>
    </row>
    <row r="179" spans="3:15">
      <c r="C179" s="291" t="s">
        <v>513</v>
      </c>
      <c r="F179" s="354">
        <v>5.7</v>
      </c>
      <c r="H179" s="354">
        <v>0.85</v>
      </c>
      <c r="I179" s="354">
        <v>0.77</v>
      </c>
      <c r="J179" s="354">
        <v>0.78</v>
      </c>
    </row>
    <row r="180" spans="3:15">
      <c r="C180" s="383" t="s">
        <v>501</v>
      </c>
      <c r="F180" s="354">
        <v>3.3</v>
      </c>
      <c r="H180" s="354">
        <v>0.75</v>
      </c>
      <c r="I180" s="354">
        <v>0.68</v>
      </c>
      <c r="J180" s="354">
        <v>0.66</v>
      </c>
    </row>
    <row r="181" spans="3:15">
      <c r="C181" s="291" t="s">
        <v>500</v>
      </c>
      <c r="F181" s="354">
        <v>3.3</v>
      </c>
      <c r="H181" s="354">
        <v>0.5</v>
      </c>
      <c r="I181" s="354">
        <v>0.45</v>
      </c>
      <c r="J181" s="354"/>
    </row>
    <row r="182" spans="3:15">
      <c r="C182" s="291" t="s">
        <v>502</v>
      </c>
      <c r="F182" s="354">
        <v>2.8</v>
      </c>
      <c r="H182" s="354">
        <v>0.75</v>
      </c>
      <c r="I182" s="354">
        <v>0.68</v>
      </c>
      <c r="J182" s="354">
        <v>0.66</v>
      </c>
    </row>
    <row r="183" spans="3:15">
      <c r="C183" s="291" t="s">
        <v>503</v>
      </c>
      <c r="F183" s="354">
        <v>2.8</v>
      </c>
      <c r="H183" s="354">
        <v>0.5</v>
      </c>
      <c r="I183" s="354">
        <v>0.45</v>
      </c>
      <c r="J183" s="354"/>
    </row>
    <row r="184" spans="3:15">
      <c r="C184" s="291" t="s">
        <v>504</v>
      </c>
      <c r="F184" s="354">
        <v>2.6</v>
      </c>
      <c r="H184" s="354">
        <v>0.67</v>
      </c>
      <c r="I184" s="354">
        <v>0.6</v>
      </c>
      <c r="J184" s="354">
        <v>0.56000000000000005</v>
      </c>
    </row>
    <row r="185" spans="3:15">
      <c r="C185" s="291" t="s">
        <v>505</v>
      </c>
      <c r="F185" s="354">
        <v>1.8</v>
      </c>
      <c r="H185" s="354">
        <v>0.67</v>
      </c>
      <c r="I185" s="354">
        <v>0.6</v>
      </c>
      <c r="J185" s="354">
        <v>0.56000000000000005</v>
      </c>
    </row>
    <row r="186" spans="3:15">
      <c r="C186" s="291" t="s">
        <v>506</v>
      </c>
      <c r="F186" s="354">
        <v>3.5</v>
      </c>
      <c r="H186" s="354">
        <v>0.3</v>
      </c>
      <c r="I186" s="354">
        <v>0.27</v>
      </c>
      <c r="J186" s="354">
        <v>0.25</v>
      </c>
    </row>
    <row r="187" spans="3:15">
      <c r="F187" s="354"/>
      <c r="H187" s="405"/>
      <c r="I187" s="405"/>
      <c r="J187" s="405"/>
    </row>
    <row r="189" spans="3:15">
      <c r="C189" s="291" t="s">
        <v>560</v>
      </c>
      <c r="D189" s="955" t="s">
        <v>557</v>
      </c>
      <c r="E189" s="955"/>
      <c r="F189" s="955"/>
      <c r="G189" s="955" t="s">
        <v>558</v>
      </c>
      <c r="H189" s="955"/>
      <c r="I189" s="955"/>
      <c r="J189" s="955" t="s">
        <v>559</v>
      </c>
      <c r="K189" s="955"/>
      <c r="L189" s="955"/>
    </row>
    <row r="190" spans="3:15">
      <c r="C190" s="291" t="s">
        <v>556</v>
      </c>
      <c r="D190" s="353">
        <v>15</v>
      </c>
      <c r="E190" s="353">
        <v>45</v>
      </c>
      <c r="F190" s="353">
        <v>65</v>
      </c>
      <c r="G190" s="353">
        <v>15</v>
      </c>
      <c r="H190" s="353">
        <v>45</v>
      </c>
      <c r="I190" s="353">
        <v>65</v>
      </c>
      <c r="J190" s="353">
        <v>15</v>
      </c>
      <c r="K190" s="353">
        <v>45</v>
      </c>
      <c r="L190" s="353">
        <v>65</v>
      </c>
      <c r="O190" s="291" t="s">
        <v>562</v>
      </c>
    </row>
    <row r="191" spans="3:15">
      <c r="C191" s="291" t="s">
        <v>545</v>
      </c>
      <c r="D191" s="384">
        <v>0.318</v>
      </c>
      <c r="E191" s="384">
        <v>0.32500000000000001</v>
      </c>
      <c r="F191" s="384">
        <v>0.32900000000000001</v>
      </c>
      <c r="G191" s="384">
        <v>0.34100000000000003</v>
      </c>
      <c r="H191" s="384">
        <v>0.35299999999999998</v>
      </c>
      <c r="I191" s="384">
        <v>0.35</v>
      </c>
      <c r="J191" s="384">
        <v>0.36</v>
      </c>
      <c r="K191" s="384">
        <v>0.36699999999999999</v>
      </c>
      <c r="L191" s="384">
        <v>0.36899999999999999</v>
      </c>
      <c r="O191" s="291">
        <v>15</v>
      </c>
    </row>
    <row r="192" spans="3:15">
      <c r="C192" s="291" t="s">
        <v>546</v>
      </c>
      <c r="D192" s="384">
        <v>0.33800000000000002</v>
      </c>
      <c r="E192" s="384">
        <v>0.34399999999999997</v>
      </c>
      <c r="F192" s="384">
        <v>0.35099999999999998</v>
      </c>
      <c r="G192" s="384">
        <v>0.35899999999999999</v>
      </c>
      <c r="H192" s="384">
        <v>0.36899999999999999</v>
      </c>
      <c r="I192" s="384">
        <v>0.36899999999999999</v>
      </c>
      <c r="J192" s="384">
        <v>0.374</v>
      </c>
      <c r="K192" s="384">
        <v>0.38100000000000001</v>
      </c>
      <c r="L192" s="384">
        <v>0.38300000000000001</v>
      </c>
      <c r="O192" s="291">
        <v>45</v>
      </c>
    </row>
    <row r="193" spans="3:20">
      <c r="C193" s="291" t="s">
        <v>547</v>
      </c>
      <c r="D193" s="384">
        <v>0.33300000000000002</v>
      </c>
      <c r="E193" s="384">
        <v>0.33900000000000002</v>
      </c>
      <c r="F193" s="384">
        <v>0.34300000000000003</v>
      </c>
      <c r="G193" s="384">
        <v>0.35499999999999998</v>
      </c>
      <c r="H193" s="384">
        <v>0.36399999999999999</v>
      </c>
      <c r="I193" s="384">
        <v>0.36099999999999999</v>
      </c>
      <c r="J193" s="384">
        <v>0.37</v>
      </c>
      <c r="K193" s="384">
        <v>0.375</v>
      </c>
      <c r="L193" s="384">
        <v>0.378</v>
      </c>
      <c r="O193" s="291">
        <v>65</v>
      </c>
    </row>
    <row r="194" spans="3:20">
      <c r="C194" s="291" t="s">
        <v>548</v>
      </c>
      <c r="D194" s="384">
        <v>0.307</v>
      </c>
      <c r="E194" s="384">
        <v>0.314</v>
      </c>
      <c r="F194" s="384">
        <v>0.316</v>
      </c>
      <c r="G194" s="384">
        <v>0.33300000000000002</v>
      </c>
      <c r="H194" s="384">
        <v>0.34399999999999997</v>
      </c>
      <c r="I194" s="384">
        <v>0.34</v>
      </c>
      <c r="J194" s="384">
        <v>0.35599999999999998</v>
      </c>
      <c r="K194" s="384">
        <v>0.36299999999999999</v>
      </c>
      <c r="L194" s="384">
        <v>0.36299999999999999</v>
      </c>
    </row>
    <row r="195" spans="3:20">
      <c r="C195" s="291" t="s">
        <v>549</v>
      </c>
      <c r="D195" s="384">
        <v>0.32700000000000001</v>
      </c>
      <c r="E195" s="384">
        <v>0.33400000000000002</v>
      </c>
      <c r="F195" s="384">
        <v>0.34100000000000003</v>
      </c>
      <c r="G195" s="384">
        <v>0.35</v>
      </c>
      <c r="H195" s="384">
        <v>0.36</v>
      </c>
      <c r="I195" s="384">
        <v>0.36</v>
      </c>
      <c r="J195" s="384">
        <v>0.36899999999999999</v>
      </c>
      <c r="K195" s="384">
        <v>0.376</v>
      </c>
      <c r="L195" s="384">
        <v>0.378</v>
      </c>
      <c r="O195" s="291" t="s">
        <v>565</v>
      </c>
    </row>
    <row r="196" spans="3:20">
      <c r="C196" s="291" t="s">
        <v>550</v>
      </c>
      <c r="D196" s="384">
        <v>0.31900000000000001</v>
      </c>
      <c r="E196" s="384">
        <v>0.32700000000000001</v>
      </c>
      <c r="F196" s="384">
        <v>0.33100000000000002</v>
      </c>
      <c r="G196" s="384">
        <v>0.34300000000000003</v>
      </c>
      <c r="H196" s="384">
        <v>0.35399999999999998</v>
      </c>
      <c r="I196" s="384">
        <v>0.35199999999999998</v>
      </c>
      <c r="J196" s="384">
        <v>0.36</v>
      </c>
      <c r="K196" s="384">
        <v>0.36799999999999999</v>
      </c>
      <c r="L196" s="384">
        <v>0.37</v>
      </c>
      <c r="O196" s="291" t="s">
        <v>563</v>
      </c>
    </row>
    <row r="197" spans="3:20">
      <c r="C197" s="291" t="s">
        <v>551</v>
      </c>
      <c r="D197" s="384">
        <v>0.33200000000000002</v>
      </c>
      <c r="E197" s="384">
        <v>0.34</v>
      </c>
      <c r="F197" s="384">
        <v>0.34399999999999997</v>
      </c>
      <c r="G197" s="384">
        <v>0.35499999999999998</v>
      </c>
      <c r="H197" s="384">
        <v>0.36499999999999999</v>
      </c>
      <c r="I197" s="384">
        <v>0.36299999999999999</v>
      </c>
      <c r="J197" s="384">
        <v>0.372</v>
      </c>
      <c r="K197" s="384">
        <v>0.378</v>
      </c>
      <c r="L197" s="384">
        <v>0.38100000000000001</v>
      </c>
      <c r="O197" s="291" t="s">
        <v>564</v>
      </c>
    </row>
    <row r="198" spans="3:20">
      <c r="C198" s="291" t="s">
        <v>552</v>
      </c>
      <c r="D198" s="384">
        <v>0.33500000000000002</v>
      </c>
      <c r="E198" s="384">
        <v>0.34200000000000003</v>
      </c>
      <c r="F198" s="384">
        <v>0.34799999999999998</v>
      </c>
      <c r="G198" s="384">
        <v>0.35699999999999998</v>
      </c>
      <c r="H198" s="384">
        <v>0.36599999999999999</v>
      </c>
      <c r="I198" s="384">
        <v>0.36599999999999999</v>
      </c>
      <c r="J198" s="384">
        <v>0.373</v>
      </c>
      <c r="K198" s="384">
        <v>0.38100000000000001</v>
      </c>
      <c r="L198" s="384">
        <v>0.38200000000000001</v>
      </c>
    </row>
    <row r="199" spans="3:20">
      <c r="C199" s="291" t="s">
        <v>553</v>
      </c>
      <c r="D199" s="384">
        <v>0.32500000000000001</v>
      </c>
      <c r="E199" s="384">
        <v>0.33200000000000002</v>
      </c>
      <c r="F199" s="384">
        <v>0.33700000000000002</v>
      </c>
      <c r="G199" s="384">
        <v>0.34799999999999998</v>
      </c>
      <c r="H199" s="384">
        <v>0.35799999999999998</v>
      </c>
      <c r="I199" s="384">
        <v>0.35799999999999998</v>
      </c>
      <c r="J199" s="384">
        <v>0.36799999999999999</v>
      </c>
      <c r="K199" s="384">
        <v>0.375</v>
      </c>
      <c r="L199" s="384">
        <v>0.376</v>
      </c>
    </row>
    <row r="200" spans="3:20">
      <c r="C200" s="291" t="s">
        <v>554</v>
      </c>
      <c r="D200" s="384">
        <v>0.317</v>
      </c>
      <c r="E200" s="384">
        <v>0.32400000000000001</v>
      </c>
      <c r="F200" s="384">
        <v>0.32700000000000001</v>
      </c>
      <c r="G200" s="384">
        <v>0.34</v>
      </c>
      <c r="H200" s="384">
        <v>0.34899999999999998</v>
      </c>
      <c r="I200" s="384">
        <v>0.34699999999999998</v>
      </c>
      <c r="J200" s="384">
        <v>0.36299999999999999</v>
      </c>
      <c r="K200" s="384">
        <v>0.36899999999999999</v>
      </c>
      <c r="L200" s="384">
        <v>0.37</v>
      </c>
    </row>
    <row r="201" spans="3:20">
      <c r="C201" s="291" t="s">
        <v>555</v>
      </c>
      <c r="D201" s="384">
        <v>0.32500000000000001</v>
      </c>
      <c r="E201" s="384">
        <v>0.33200000000000002</v>
      </c>
      <c r="F201" s="384">
        <v>0.33700000000000002</v>
      </c>
      <c r="G201" s="384">
        <v>0.34799999999999998</v>
      </c>
      <c r="H201" s="384">
        <v>0.35799999999999998</v>
      </c>
      <c r="I201" s="384">
        <v>0.35699999999999998</v>
      </c>
      <c r="J201" s="384">
        <v>0.36599999999999999</v>
      </c>
      <c r="K201" s="384">
        <v>0.373</v>
      </c>
      <c r="L201" s="384">
        <v>0.375</v>
      </c>
    </row>
    <row r="202" spans="3:20">
      <c r="M202" s="360" t="s">
        <v>572</v>
      </c>
      <c r="N202" s="291" t="s">
        <v>571</v>
      </c>
      <c r="O202" s="407" t="str">
        <f>ΥΠΟΛΟΓΙΣΜΟΙ!B101</f>
        <v>επιλογή τύπου</v>
      </c>
    </row>
    <row r="203" spans="3:20">
      <c r="N203" s="291" t="s">
        <v>566</v>
      </c>
      <c r="O203" s="407" t="str">
        <f>ΥΠΟΛΟΓΙΣΜΟΙ!E101</f>
        <v>Χρήση:</v>
      </c>
      <c r="Q203" s="405">
        <f>IF(O203=O196,IF(O202=D189,INDEX(D191:F201,MATCH(O204,C191:C201,0),MATCH(O205,D190:F190,0)),IF(O202=G189,INDEX(G191:I201,MATCH(O204,C191:C201,0),MATCH(O205,G190:I190,0)),INDEX(J191:L201,MATCH(O204,C191:C201,0),MATCH(O205,J190:L190,0)))),0)</f>
        <v>0</v>
      </c>
      <c r="R203" s="405" t="s">
        <v>573</v>
      </c>
      <c r="S203" s="405" t="s">
        <v>569</v>
      </c>
      <c r="T203" s="405" t="s">
        <v>574</v>
      </c>
    </row>
    <row r="204" spans="3:20">
      <c r="C204" s="291" t="s">
        <v>561</v>
      </c>
      <c r="D204" s="955" t="s">
        <v>557</v>
      </c>
      <c r="E204" s="955"/>
      <c r="F204" s="955"/>
      <c r="G204" s="955" t="s">
        <v>558</v>
      </c>
      <c r="H204" s="955"/>
      <c r="I204" s="955"/>
      <c r="J204" s="955" t="s">
        <v>559</v>
      </c>
      <c r="K204" s="955"/>
      <c r="L204" s="955"/>
      <c r="N204" s="291" t="s">
        <v>567</v>
      </c>
      <c r="O204" s="407" t="str">
        <f>ΥΠΟΛΟΓΙΣΜΟΙ!G101</f>
        <v>Πολη:</v>
      </c>
      <c r="Q204" s="405">
        <f>IF(O203=O197,IF(O202=D204,INDEX(D206:F216,MATCH(O204,C206:C216,0),MATCH(O205,D205:F205,0)),IF(O202=G204,INDEX(G206:I216,MATCH(O204,C206:C216,0),MATCH(O205,G205:I205,0)),INDEX(J206:L216,MATCH(O204,C206:C216,0),MATCH(O205,J205:L205,0)))),0)</f>
        <v>0</v>
      </c>
      <c r="R204" s="405">
        <f>Q203+Q204</f>
        <v>0</v>
      </c>
      <c r="S204" s="354" t="str">
        <f>O206</f>
        <v>οχι</v>
      </c>
      <c r="T204" s="405" t="str">
        <f>IF(R204=0,"-",IF(S204="οχι",R204,0.8*R204))</f>
        <v>-</v>
      </c>
    </row>
    <row r="205" spans="3:20">
      <c r="C205" s="291" t="s">
        <v>556</v>
      </c>
      <c r="D205" s="353">
        <v>15</v>
      </c>
      <c r="E205" s="353">
        <v>45</v>
      </c>
      <c r="F205" s="353">
        <v>65</v>
      </c>
      <c r="G205" s="353">
        <v>15</v>
      </c>
      <c r="H205" s="353">
        <v>45</v>
      </c>
      <c r="I205" s="353">
        <v>65</v>
      </c>
      <c r="J205" s="353">
        <v>15</v>
      </c>
      <c r="K205" s="353">
        <v>45</v>
      </c>
      <c r="L205" s="353">
        <v>65</v>
      </c>
      <c r="N205" s="291" t="s">
        <v>568</v>
      </c>
      <c r="O205" s="385" t="str">
        <f>ΥΠΟΛΟΓΙΣΜΟΙ!I101</f>
        <v>-</v>
      </c>
    </row>
    <row r="206" spans="3:20">
      <c r="C206" s="291" t="s">
        <v>545</v>
      </c>
      <c r="D206" s="384">
        <v>0.312</v>
      </c>
      <c r="E206" s="384">
        <v>0.316</v>
      </c>
      <c r="F206" s="384">
        <v>0.32500000000000001</v>
      </c>
      <c r="G206" s="384">
        <v>0.32700000000000001</v>
      </c>
      <c r="H206" s="384">
        <v>0.33300000000000002</v>
      </c>
      <c r="I206" s="384">
        <v>0.33900000000000002</v>
      </c>
      <c r="J206" s="384">
        <v>0.33700000000000002</v>
      </c>
      <c r="K206" s="384">
        <v>0.34100000000000003</v>
      </c>
      <c r="L206" s="384">
        <v>0.35099999999999998</v>
      </c>
      <c r="N206" s="291" t="s">
        <v>569</v>
      </c>
      <c r="O206" s="407" t="str">
        <f>ΥΠΟΛΟΓΙΣΜΟΙ!J101</f>
        <v>οχι</v>
      </c>
    </row>
    <row r="207" spans="3:20">
      <c r="C207" s="291" t="s">
        <v>546</v>
      </c>
      <c r="D207" s="384">
        <v>0.32400000000000001</v>
      </c>
      <c r="E207" s="384">
        <v>0.32400000000000001</v>
      </c>
      <c r="F207" s="384">
        <v>0.33400000000000002</v>
      </c>
      <c r="G207" s="384">
        <v>0.33800000000000002</v>
      </c>
      <c r="H207" s="384">
        <v>0.33800000000000002</v>
      </c>
      <c r="I207" s="384">
        <v>0.34399999999999997</v>
      </c>
      <c r="J207" s="384">
        <v>0.34899999999999998</v>
      </c>
      <c r="K207" s="384">
        <v>0.34799999999999998</v>
      </c>
      <c r="L207" s="384">
        <v>0.35499999999999998</v>
      </c>
    </row>
    <row r="208" spans="3:20">
      <c r="C208" s="291" t="s">
        <v>547</v>
      </c>
      <c r="D208" s="384">
        <v>0.30399999999999999</v>
      </c>
      <c r="E208" s="384">
        <v>0.29899999999999999</v>
      </c>
      <c r="F208" s="384">
        <v>0.308</v>
      </c>
      <c r="G208" s="384">
        <v>0.315</v>
      </c>
      <c r="H208" s="384">
        <v>0.308</v>
      </c>
      <c r="I208" s="384">
        <v>0.313</v>
      </c>
      <c r="J208" s="384">
        <v>0.32100000000000001</v>
      </c>
      <c r="K208" s="384">
        <v>0.317</v>
      </c>
      <c r="L208" s="384">
        <v>0.32500000000000001</v>
      </c>
    </row>
    <row r="209" spans="3:20">
      <c r="C209" s="291" t="s">
        <v>548</v>
      </c>
      <c r="D209" s="384">
        <v>0.308</v>
      </c>
      <c r="E209" s="384">
        <v>0.309</v>
      </c>
      <c r="F209" s="384">
        <v>0.314</v>
      </c>
      <c r="G209" s="384">
        <v>0.32500000000000001</v>
      </c>
      <c r="H209" s="384">
        <v>0.32700000000000001</v>
      </c>
      <c r="I209" s="384">
        <v>0.32800000000000001</v>
      </c>
      <c r="J209" s="384">
        <v>0.33700000000000002</v>
      </c>
      <c r="K209" s="384">
        <v>0.33600000000000002</v>
      </c>
      <c r="L209" s="384">
        <v>0.34100000000000003</v>
      </c>
      <c r="M209" s="360" t="s">
        <v>575</v>
      </c>
      <c r="N209" s="291" t="s">
        <v>571</v>
      </c>
      <c r="O209" s="407" t="str">
        <f>ΥΠΟΛΟΓΙΣΜΟΙ!B102</f>
        <v>επιλογή τύπου</v>
      </c>
    </row>
    <row r="210" spans="3:20">
      <c r="C210" s="291" t="s">
        <v>549</v>
      </c>
      <c r="D210" s="384">
        <v>0.32800000000000001</v>
      </c>
      <c r="E210" s="384">
        <v>0.33400000000000002</v>
      </c>
      <c r="F210" s="384">
        <v>0.34599999999999997</v>
      </c>
      <c r="G210" s="384">
        <v>0.34300000000000003</v>
      </c>
      <c r="H210" s="384">
        <v>0.35199999999999998</v>
      </c>
      <c r="I210" s="384">
        <v>0.36</v>
      </c>
      <c r="J210" s="384">
        <v>0.35599999999999998</v>
      </c>
      <c r="K210" s="384">
        <v>0.36399999999999999</v>
      </c>
      <c r="L210" s="384">
        <v>0.372</v>
      </c>
      <c r="N210" s="291" t="s">
        <v>566</v>
      </c>
      <c r="O210" s="407" t="str">
        <f>ΥΠΟΛΟΓΙΣΜΟΙ!E102</f>
        <v>Χρήση:</v>
      </c>
      <c r="Q210" s="405">
        <f>IF(O210=O196,IF(O209=D189,INDEX(D191:F201,MATCH(O211,C191:C201,0),MATCH(O212,D190:F190,0)),IF(O209=G189,INDEX(G191:I201,MATCH(O211,C191:C201,0),MATCH(O212,G190:I190,0)),INDEX(J191:L201,MATCH(O211,C191:C201,0),MATCH(O212,J190:L190,0)))),0)</f>
        <v>0</v>
      </c>
      <c r="R210" s="405" t="s">
        <v>573</v>
      </c>
      <c r="S210" s="405" t="s">
        <v>569</v>
      </c>
      <c r="T210" s="405" t="s">
        <v>574</v>
      </c>
    </row>
    <row r="211" spans="3:20">
      <c r="C211" s="291" t="s">
        <v>550</v>
      </c>
      <c r="D211" s="384">
        <v>0.307</v>
      </c>
      <c r="E211" s="384">
        <v>0.309</v>
      </c>
      <c r="F211" s="384">
        <v>0.32</v>
      </c>
      <c r="G211" s="384">
        <v>0.32</v>
      </c>
      <c r="H211" s="384">
        <v>0.32300000000000001</v>
      </c>
      <c r="I211" s="384">
        <v>0.33</v>
      </c>
      <c r="J211" s="384">
        <v>0.32500000000000001</v>
      </c>
      <c r="K211" s="384">
        <v>0.33100000000000002</v>
      </c>
      <c r="L211" s="384">
        <v>0.34200000000000003</v>
      </c>
      <c r="N211" s="291" t="s">
        <v>567</v>
      </c>
      <c r="O211" s="407" t="str">
        <f>ΥΠΟΛΟΓΙΣΜΟΙ!G102</f>
        <v>Πολη:</v>
      </c>
      <c r="Q211" s="405">
        <f>IF(O210=O197,IF(O209=D204,INDEX(D206:F216,MATCH(O211,C206:C216,0),MATCH(O212,D205:F205,0)),IF(O209=G204,INDEX(G206:I216,MATCH(O211,C206:C216,0),MATCH(O212,G205:I205,0)),INDEX(J206:L216,MATCH(O211,C206:C216,0),MATCH(O212,J205:L205,0)))),0)</f>
        <v>0</v>
      </c>
      <c r="R211" s="405">
        <f>Q210+Q211</f>
        <v>0</v>
      </c>
      <c r="S211" s="354" t="str">
        <f>O213</f>
        <v>οχι</v>
      </c>
      <c r="T211" s="405" t="str">
        <f>IF(R211=0,"-",IF(S211="οχι",R211,0.8*R211))</f>
        <v>-</v>
      </c>
    </row>
    <row r="212" spans="3:20">
      <c r="C212" s="291" t="s">
        <v>551</v>
      </c>
      <c r="D212" s="384">
        <v>0.314</v>
      </c>
      <c r="E212" s="384">
        <v>0.316</v>
      </c>
      <c r="F212" s="384">
        <v>0.32600000000000001</v>
      </c>
      <c r="G212" s="384">
        <v>0.32900000000000001</v>
      </c>
      <c r="H212" s="384">
        <v>0.33</v>
      </c>
      <c r="I212" s="384">
        <v>0.33600000000000002</v>
      </c>
      <c r="J212" s="384">
        <v>0.34100000000000003</v>
      </c>
      <c r="K212" s="384">
        <v>0.34300000000000003</v>
      </c>
      <c r="L212" s="384">
        <v>0.35199999999999998</v>
      </c>
      <c r="N212" s="291" t="s">
        <v>568</v>
      </c>
      <c r="O212" s="385" t="str">
        <f>ΥΠΟΛΟΓΙΣΜΟΙ!I102</f>
        <v>-</v>
      </c>
    </row>
    <row r="213" spans="3:20">
      <c r="C213" s="291" t="s">
        <v>552</v>
      </c>
      <c r="D213" s="384">
        <v>0.32500000000000001</v>
      </c>
      <c r="E213" s="384">
        <v>0.33</v>
      </c>
      <c r="F213" s="384">
        <v>0.34200000000000003</v>
      </c>
      <c r="G213" s="384">
        <v>0.34</v>
      </c>
      <c r="H213" s="384">
        <v>0.34699999999999998</v>
      </c>
      <c r="I213" s="384">
        <v>0.35399999999999998</v>
      </c>
      <c r="J213" s="384">
        <v>0.35099999999999998</v>
      </c>
      <c r="K213" s="384">
        <v>0.35899999999999999</v>
      </c>
      <c r="L213" s="384">
        <v>0.36899999999999999</v>
      </c>
      <c r="N213" s="291" t="s">
        <v>569</v>
      </c>
      <c r="O213" s="407" t="str">
        <f>ΥΠΟΛΟΓΙΣΜΟΙ!J102</f>
        <v>οχι</v>
      </c>
    </row>
    <row r="214" spans="3:20">
      <c r="C214" s="291" t="s">
        <v>553</v>
      </c>
      <c r="D214" s="384">
        <v>0.32300000000000001</v>
      </c>
      <c r="E214" s="384">
        <v>0.32900000000000001</v>
      </c>
      <c r="F214" s="384">
        <v>0.33900000000000002</v>
      </c>
      <c r="G214" s="384">
        <v>0.33900000000000002</v>
      </c>
      <c r="H214" s="384">
        <v>0.34699999999999998</v>
      </c>
      <c r="I214" s="384">
        <v>0.35299999999999998</v>
      </c>
      <c r="J214" s="384">
        <v>0.35199999999999998</v>
      </c>
      <c r="K214" s="384">
        <v>0.35799999999999998</v>
      </c>
      <c r="L214" s="384">
        <v>0.36499999999999999</v>
      </c>
    </row>
    <row r="215" spans="3:20">
      <c r="C215" s="291" t="s">
        <v>554</v>
      </c>
      <c r="D215" s="384">
        <v>0.315</v>
      </c>
      <c r="E215" s="384">
        <v>0.318</v>
      </c>
      <c r="F215" s="384">
        <v>0.32500000000000001</v>
      </c>
      <c r="G215" s="384">
        <v>0.33</v>
      </c>
      <c r="H215" s="384">
        <v>0.33400000000000002</v>
      </c>
      <c r="I215" s="384">
        <v>0.33600000000000002</v>
      </c>
      <c r="J215" s="384">
        <v>0.34300000000000003</v>
      </c>
      <c r="K215" s="384">
        <v>0.34499999999999997</v>
      </c>
      <c r="L215" s="384">
        <v>0.35</v>
      </c>
    </row>
    <row r="216" spans="3:20">
      <c r="C216" s="291" t="s">
        <v>555</v>
      </c>
      <c r="D216" s="384">
        <v>0.316</v>
      </c>
      <c r="E216" s="384">
        <v>0.318</v>
      </c>
      <c r="F216" s="384">
        <v>0.32800000000000001</v>
      </c>
      <c r="G216" s="384">
        <v>0.33100000000000002</v>
      </c>
      <c r="H216" s="384">
        <v>0.33400000000000002</v>
      </c>
      <c r="I216" s="384">
        <v>0.33900000000000002</v>
      </c>
      <c r="J216" s="384">
        <v>0.34100000000000003</v>
      </c>
      <c r="K216" s="384">
        <v>0.34399999999999997</v>
      </c>
      <c r="L216" s="384">
        <v>0.35199999999999998</v>
      </c>
    </row>
    <row r="220" spans="3:20">
      <c r="N220" s="291" t="s">
        <v>592</v>
      </c>
    </row>
    <row r="221" spans="3:20">
      <c r="N221" s="291" t="s">
        <v>593</v>
      </c>
    </row>
    <row r="222" spans="3:20">
      <c r="C222" s="291" t="s">
        <v>578</v>
      </c>
      <c r="N222" s="291" t="s">
        <v>594</v>
      </c>
    </row>
    <row r="223" spans="3:20">
      <c r="N223" s="291" t="s">
        <v>595</v>
      </c>
    </row>
    <row r="224" spans="3:20">
      <c r="C224" s="291" t="s">
        <v>589</v>
      </c>
    </row>
    <row r="225" spans="3:17">
      <c r="C225" s="291" t="s">
        <v>579</v>
      </c>
    </row>
    <row r="226" spans="3:17">
      <c r="C226" s="357" t="s">
        <v>590</v>
      </c>
      <c r="K226" s="405" t="s">
        <v>580</v>
      </c>
      <c r="L226" s="405" t="s">
        <v>581</v>
      </c>
      <c r="N226" s="360" t="s">
        <v>376</v>
      </c>
      <c r="O226" s="332" t="str">
        <f>ΥΠΟΛΟΓΙΣΜΟΙ!E40</f>
        <v>Κούφωμα με μονό υαλοπίνακα, μη αεροστεγές, χωνευτό, επάλληλο, ανοιγόμενο</v>
      </c>
    </row>
    <row r="227" spans="3:17">
      <c r="C227" s="291" t="s">
        <v>583</v>
      </c>
      <c r="K227" s="405">
        <v>11.8</v>
      </c>
      <c r="L227" s="405">
        <v>15.1</v>
      </c>
      <c r="O227" s="332" t="str">
        <f>ΥΠΟΛΟΓΙΣΜΟΙ!C40</f>
        <v>πλαίσιο:</v>
      </c>
    </row>
    <row r="228" spans="3:17">
      <c r="C228" s="291" t="s">
        <v>582</v>
      </c>
      <c r="K228" s="405">
        <v>11.8</v>
      </c>
      <c r="L228" s="405">
        <v>15.1</v>
      </c>
    </row>
    <row r="229" spans="3:17">
      <c r="C229" s="291" t="s">
        <v>584</v>
      </c>
      <c r="K229" s="405">
        <v>9.8000000000000007</v>
      </c>
      <c r="L229" s="405">
        <v>12.5</v>
      </c>
      <c r="N229" s="360"/>
      <c r="O229" s="291" t="s">
        <v>596</v>
      </c>
      <c r="Q229" s="291" t="str">
        <f>IF(O227=N220,"0",IF(O227=N221,INDEX(K227:K233,MATCH(O226,C227:C233,0)),INDEX(K236:K242,MATCH(O226,C236:C242,0))))</f>
        <v>0</v>
      </c>
    </row>
    <row r="230" spans="3:17">
      <c r="C230" s="291" t="s">
        <v>585</v>
      </c>
      <c r="K230" s="405">
        <v>9.8000000000000007</v>
      </c>
      <c r="L230" s="405">
        <v>12.5</v>
      </c>
      <c r="O230" s="291" t="s">
        <v>597</v>
      </c>
      <c r="Q230" s="291" t="str">
        <f>IF(O227=N220,"0",IF(O227=N221,INDEX(L227:L233,MATCH(O226,C227:C233,0)),INDEX(L236:L242,MATCH(O226,C236:C242,0))))</f>
        <v>0</v>
      </c>
    </row>
    <row r="231" spans="3:17">
      <c r="C231" s="291" t="s">
        <v>586</v>
      </c>
      <c r="K231" s="405">
        <v>9.8000000000000007</v>
      </c>
      <c r="L231" s="405">
        <v>12.5</v>
      </c>
    </row>
    <row r="232" spans="3:17">
      <c r="C232" s="291" t="s">
        <v>587</v>
      </c>
      <c r="K232" s="405">
        <v>7.9</v>
      </c>
      <c r="L232" s="405">
        <v>10</v>
      </c>
      <c r="N232" s="360" t="s">
        <v>375</v>
      </c>
      <c r="O232" s="332" t="str">
        <f>ΥΠΟΛΟΓΙΣΜΟΙ!E41</f>
        <v>Κούφωμα με μονό υαλοπίνακα, μη αεροστεγές, χωνευτό, επάλληλο, ανοιγόμενο</v>
      </c>
    </row>
    <row r="233" spans="3:17">
      <c r="C233" s="291" t="s">
        <v>588</v>
      </c>
      <c r="K233" s="405">
        <v>7.9</v>
      </c>
      <c r="L233" s="405">
        <v>10</v>
      </c>
      <c r="O233" s="332" t="str">
        <f>ΥΠΟΛΟΓΙΣΜΟΙ!C41</f>
        <v>πλαίσιο:</v>
      </c>
    </row>
    <row r="234" spans="3:17">
      <c r="K234" s="405"/>
      <c r="L234" s="405"/>
    </row>
    <row r="235" spans="3:17">
      <c r="C235" s="357" t="s">
        <v>591</v>
      </c>
      <c r="K235" s="405"/>
      <c r="L235" s="405"/>
      <c r="N235" s="360"/>
      <c r="O235" s="291" t="s">
        <v>596</v>
      </c>
      <c r="Q235" s="291" t="str">
        <f>IF(O233=N220,"0",IF(O233=N221,INDEX(K227:K233,MATCH(O232,C227:C233,0)),INDEX(K236:K242,MATCH(O232,C236:C242,0))))</f>
        <v>0</v>
      </c>
    </row>
    <row r="236" spans="3:17">
      <c r="C236" s="291" t="s">
        <v>583</v>
      </c>
      <c r="K236" s="405">
        <v>7.4</v>
      </c>
      <c r="L236" s="405">
        <v>8.6999999999999993</v>
      </c>
      <c r="O236" s="291" t="s">
        <v>597</v>
      </c>
      <c r="Q236" s="291" t="str">
        <f>IF(O233=N220,"0",IF(O233=N221,INDEX(L227:L233,MATCH(O232,C227:C233,0)),INDEX(L236:L242,MATCH(O232,C236:C242,0))))</f>
        <v>0</v>
      </c>
    </row>
    <row r="237" spans="3:17">
      <c r="C237" s="291" t="s">
        <v>582</v>
      </c>
      <c r="K237" s="405">
        <v>7.4</v>
      </c>
      <c r="L237" s="405">
        <v>8.6999999999999993</v>
      </c>
    </row>
    <row r="238" spans="3:17">
      <c r="C238" s="291" t="s">
        <v>584</v>
      </c>
      <c r="K238" s="405">
        <v>5.3</v>
      </c>
      <c r="L238" s="405">
        <v>6.8</v>
      </c>
      <c r="N238" s="360" t="s">
        <v>542</v>
      </c>
      <c r="O238" s="332" t="str">
        <f>ΥΠΟΛΟΓΙΣΜΟΙ!E42</f>
        <v>Κούφωμα με μονό υαλοπίνακα, μη αεροστεγές, χωνευτό, επάλληλο, ανοιγόμενο</v>
      </c>
    </row>
    <row r="239" spans="3:17">
      <c r="C239" s="291" t="s">
        <v>585</v>
      </c>
      <c r="K239" s="405">
        <v>5.3</v>
      </c>
      <c r="L239" s="405">
        <v>6.8</v>
      </c>
      <c r="O239" s="332" t="str">
        <f>ΥΠΟΛΟΓΙΣΜΟΙ!C42</f>
        <v>πλαίσιο:</v>
      </c>
    </row>
    <row r="240" spans="3:17">
      <c r="C240" s="291" t="s">
        <v>586</v>
      </c>
      <c r="K240" s="405">
        <v>5.3</v>
      </c>
      <c r="L240" s="405">
        <v>6.8</v>
      </c>
    </row>
    <row r="241" spans="3:24">
      <c r="C241" s="291" t="s">
        <v>587</v>
      </c>
      <c r="K241" s="405">
        <v>4.8</v>
      </c>
      <c r="L241" s="405">
        <v>6.2</v>
      </c>
      <c r="N241" s="360"/>
      <c r="O241" s="291" t="s">
        <v>596</v>
      </c>
      <c r="Q241" s="291" t="str">
        <f>IF(O239=N220,"0",IF(O239=N221,INDEX(K227:K233,MATCH(O238,C227:C233,0)),INDEX(K236:K242,MATCH(O238,C236:C242,0))))</f>
        <v>0</v>
      </c>
    </row>
    <row r="242" spans="3:24">
      <c r="C242" s="291" t="s">
        <v>588</v>
      </c>
      <c r="K242" s="405">
        <v>4.8</v>
      </c>
      <c r="L242" s="405">
        <v>6.2</v>
      </c>
      <c r="O242" s="291" t="s">
        <v>597</v>
      </c>
      <c r="Q242" s="291" t="str">
        <f>IF(O239=N220,"0",IF(O239=N221,INDEX(L227:L233,MATCH(O238,C227:C233,0)),INDEX(L236:L242,MATCH(O238,C236:C242,0))))</f>
        <v>0</v>
      </c>
    </row>
    <row r="245" spans="3:24">
      <c r="C245" s="393" t="s">
        <v>696</v>
      </c>
      <c r="D245" s="393"/>
      <c r="E245" s="393"/>
      <c r="F245" s="393"/>
      <c r="G245" s="393"/>
      <c r="H245" s="393"/>
      <c r="I245" s="393"/>
      <c r="J245" s="291" t="s">
        <v>681</v>
      </c>
    </row>
    <row r="246" spans="3:24">
      <c r="C246" s="394" t="s">
        <v>687</v>
      </c>
      <c r="D246" s="394"/>
      <c r="E246" s="394"/>
      <c r="F246" s="394"/>
      <c r="G246" s="394"/>
      <c r="H246" s="394"/>
      <c r="I246" s="394"/>
      <c r="J246" s="332">
        <v>0.3</v>
      </c>
      <c r="R246" s="291" t="s">
        <v>680</v>
      </c>
    </row>
    <row r="247" spans="3:24">
      <c r="C247" s="394" t="s">
        <v>688</v>
      </c>
      <c r="D247" s="394"/>
      <c r="E247" s="394"/>
      <c r="F247" s="394"/>
      <c r="G247" s="394"/>
      <c r="H247" s="394"/>
      <c r="I247" s="394"/>
      <c r="J247" s="332">
        <v>0.4</v>
      </c>
      <c r="N247" s="291" t="s">
        <v>705</v>
      </c>
      <c r="R247" s="291">
        <v>0.8</v>
      </c>
      <c r="U247" s="398" t="s">
        <v>720</v>
      </c>
      <c r="X247" s="402">
        <v>20</v>
      </c>
    </row>
    <row r="248" spans="3:24">
      <c r="C248" s="394" t="s">
        <v>689</v>
      </c>
      <c r="D248" s="394"/>
      <c r="E248" s="394"/>
      <c r="F248" s="394"/>
      <c r="G248" s="394"/>
      <c r="H248" s="394"/>
      <c r="I248" s="394"/>
      <c r="J248" s="332">
        <v>0.6</v>
      </c>
      <c r="N248" s="291" t="s">
        <v>706</v>
      </c>
      <c r="R248" s="291">
        <v>0.9</v>
      </c>
      <c r="U248" s="398" t="s">
        <v>721</v>
      </c>
      <c r="X248" s="402">
        <v>30</v>
      </c>
    </row>
    <row r="249" spans="3:24">
      <c r="C249" s="394" t="s">
        <v>690</v>
      </c>
      <c r="D249" s="394"/>
      <c r="E249" s="394"/>
      <c r="F249" s="394"/>
      <c r="G249" s="394"/>
      <c r="H249" s="394"/>
      <c r="I249" s="394"/>
      <c r="J249" s="332">
        <v>0.8</v>
      </c>
      <c r="N249" s="291" t="s">
        <v>707</v>
      </c>
      <c r="R249" s="291">
        <v>0.2</v>
      </c>
      <c r="U249" s="398" t="s">
        <v>722</v>
      </c>
      <c r="X249" s="402">
        <v>40</v>
      </c>
    </row>
    <row r="250" spans="3:24">
      <c r="C250" s="394" t="s">
        <v>691</v>
      </c>
      <c r="D250" s="394"/>
      <c r="E250" s="394"/>
      <c r="F250" s="394"/>
      <c r="G250" s="394"/>
      <c r="H250" s="394"/>
      <c r="I250" s="394"/>
      <c r="J250" s="332">
        <v>0.8</v>
      </c>
      <c r="N250" s="291" t="s">
        <v>703</v>
      </c>
      <c r="R250" s="291">
        <v>0.3</v>
      </c>
    </row>
    <row r="251" spans="3:24">
      <c r="C251" s="394" t="s">
        <v>692</v>
      </c>
      <c r="D251" s="394"/>
      <c r="E251" s="394"/>
      <c r="F251" s="394"/>
      <c r="G251" s="394"/>
      <c r="H251" s="394"/>
      <c r="I251" s="394"/>
      <c r="J251" s="332">
        <v>0.6</v>
      </c>
      <c r="N251" s="291" t="s">
        <v>708</v>
      </c>
      <c r="R251" s="291">
        <v>0.8</v>
      </c>
    </row>
    <row r="252" spans="3:24">
      <c r="C252" s="394" t="s">
        <v>693</v>
      </c>
      <c r="D252" s="394"/>
      <c r="E252" s="394"/>
      <c r="F252" s="394"/>
      <c r="G252" s="394"/>
      <c r="H252" s="394"/>
      <c r="I252" s="394"/>
      <c r="J252" s="332">
        <v>0.2</v>
      </c>
    </row>
    <row r="253" spans="3:24">
      <c r="C253" s="394" t="s">
        <v>694</v>
      </c>
      <c r="D253" s="394"/>
      <c r="E253" s="394"/>
      <c r="F253" s="394"/>
      <c r="G253" s="394"/>
      <c r="H253" s="394"/>
      <c r="I253" s="394"/>
      <c r="J253" s="332">
        <v>0.6</v>
      </c>
    </row>
    <row r="254" spans="3:24">
      <c r="C254" s="394" t="s">
        <v>695</v>
      </c>
      <c r="D254" s="394"/>
      <c r="E254" s="394"/>
      <c r="F254" s="394"/>
      <c r="G254" s="394"/>
      <c r="H254" s="394"/>
      <c r="I254" s="394"/>
      <c r="J254" s="332">
        <v>0.7</v>
      </c>
      <c r="Q254" s="405">
        <v>20</v>
      </c>
      <c r="R254" s="405">
        <v>30</v>
      </c>
      <c r="S254" s="405">
        <v>40</v>
      </c>
    </row>
    <row r="255" spans="3:24">
      <c r="C255" s="393" t="s">
        <v>697</v>
      </c>
      <c r="D255" s="393"/>
      <c r="E255" s="393"/>
      <c r="F255" s="393"/>
      <c r="G255" s="393"/>
      <c r="H255" s="393"/>
      <c r="I255" s="393"/>
      <c r="J255" s="291" t="s">
        <v>681</v>
      </c>
      <c r="N255" s="399" t="s">
        <v>513</v>
      </c>
      <c r="Q255" s="405">
        <v>0.62</v>
      </c>
      <c r="R255" s="405">
        <v>0.54</v>
      </c>
      <c r="S255" s="405">
        <v>0.46</v>
      </c>
    </row>
    <row r="256" spans="3:24">
      <c r="C256" s="394" t="s">
        <v>698</v>
      </c>
      <c r="D256" s="394"/>
      <c r="E256" s="394"/>
      <c r="F256" s="394"/>
      <c r="G256" s="394"/>
      <c r="H256" s="394"/>
      <c r="I256" s="394"/>
      <c r="J256" s="332">
        <v>0.6</v>
      </c>
      <c r="N256" s="399" t="s">
        <v>501</v>
      </c>
      <c r="Q256" s="405">
        <v>0.54</v>
      </c>
      <c r="R256" s="405">
        <v>0.48</v>
      </c>
      <c r="S256" s="405">
        <v>0.41</v>
      </c>
    </row>
    <row r="257" spans="1:25">
      <c r="C257" s="394" t="s">
        <v>699</v>
      </c>
      <c r="D257" s="394"/>
      <c r="E257" s="394"/>
      <c r="F257" s="394"/>
      <c r="G257" s="394"/>
      <c r="H257" s="394"/>
      <c r="I257" s="394"/>
      <c r="J257" s="332">
        <v>0.9</v>
      </c>
      <c r="N257" s="399" t="s">
        <v>502</v>
      </c>
      <c r="Q257" s="405">
        <v>0.54</v>
      </c>
      <c r="R257" s="405">
        <v>0.48</v>
      </c>
      <c r="S257" s="405">
        <v>0.41</v>
      </c>
    </row>
    <row r="258" spans="1:25">
      <c r="C258" s="394" t="s">
        <v>700</v>
      </c>
      <c r="D258" s="394"/>
      <c r="E258" s="394"/>
      <c r="F258" s="394"/>
      <c r="G258" s="394"/>
      <c r="H258" s="394"/>
      <c r="I258" s="394"/>
      <c r="J258" s="332">
        <v>0.8</v>
      </c>
      <c r="N258" s="399" t="s">
        <v>504</v>
      </c>
      <c r="Q258" s="405">
        <v>0.48</v>
      </c>
      <c r="R258" s="405">
        <v>0.42</v>
      </c>
      <c r="S258" s="405">
        <v>0.36</v>
      </c>
    </row>
    <row r="259" spans="1:25">
      <c r="C259" s="394" t="s">
        <v>701</v>
      </c>
      <c r="D259" s="394"/>
      <c r="E259" s="394"/>
      <c r="F259" s="394"/>
      <c r="G259" s="394"/>
      <c r="H259" s="394"/>
      <c r="I259" s="394"/>
      <c r="J259" s="332">
        <v>0.65</v>
      </c>
      <c r="N259" s="399" t="s">
        <v>505</v>
      </c>
      <c r="Q259" s="405">
        <v>0.48</v>
      </c>
      <c r="R259" s="405">
        <v>0.42</v>
      </c>
      <c r="S259" s="405">
        <v>0.36</v>
      </c>
    </row>
    <row r="260" spans="1:25">
      <c r="C260" s="394" t="s">
        <v>702</v>
      </c>
      <c r="D260" s="394"/>
      <c r="E260" s="394"/>
      <c r="F260" s="394"/>
      <c r="G260" s="394"/>
      <c r="H260" s="394"/>
      <c r="I260" s="394"/>
      <c r="J260" s="332">
        <v>0.2</v>
      </c>
    </row>
    <row r="261" spans="1:25">
      <c r="C261" s="394" t="s">
        <v>703</v>
      </c>
      <c r="D261" s="394"/>
      <c r="E261" s="394"/>
      <c r="F261" s="394"/>
      <c r="G261" s="394"/>
      <c r="H261" s="394"/>
      <c r="I261" s="394"/>
      <c r="J261" s="332">
        <v>0.3</v>
      </c>
    </row>
    <row r="262" spans="1:25">
      <c r="C262" s="394" t="s">
        <v>704</v>
      </c>
      <c r="D262" s="394"/>
      <c r="E262" s="394"/>
      <c r="F262" s="394"/>
      <c r="G262" s="394"/>
      <c r="H262" s="394"/>
      <c r="I262" s="394"/>
      <c r="J262" s="332">
        <v>0.7</v>
      </c>
    </row>
    <row r="264" spans="1:25">
      <c r="A264" s="965" t="s">
        <v>729</v>
      </c>
      <c r="B264" s="965"/>
      <c r="C264" s="965"/>
      <c r="D264" s="965"/>
      <c r="E264" s="965"/>
      <c r="F264" s="965"/>
      <c r="G264" s="965"/>
      <c r="I264" s="965" t="s">
        <v>748</v>
      </c>
      <c r="J264" s="965"/>
      <c r="K264" s="965"/>
      <c r="L264" s="965"/>
      <c r="M264" s="965"/>
      <c r="N264" s="965"/>
      <c r="O264" s="965"/>
      <c r="Q264" s="965" t="s">
        <v>749</v>
      </c>
      <c r="R264" s="965"/>
      <c r="S264" s="965"/>
      <c r="T264" s="965"/>
      <c r="U264" s="965"/>
      <c r="V264" s="965"/>
      <c r="W264" s="965"/>
    </row>
    <row r="265" spans="1:25" s="411" customFormat="1" ht="52.8" customHeight="1">
      <c r="C265" s="412" t="s">
        <v>513</v>
      </c>
      <c r="D265" s="412" t="s">
        <v>501</v>
      </c>
      <c r="E265" s="412" t="s">
        <v>502</v>
      </c>
      <c r="F265" s="412" t="s">
        <v>504</v>
      </c>
      <c r="G265" s="412" t="s">
        <v>505</v>
      </c>
      <c r="K265" s="412" t="s">
        <v>513</v>
      </c>
      <c r="L265" s="412" t="s">
        <v>501</v>
      </c>
      <c r="M265" s="412" t="s">
        <v>502</v>
      </c>
      <c r="N265" s="412" t="s">
        <v>504</v>
      </c>
      <c r="O265" s="412" t="s">
        <v>505</v>
      </c>
      <c r="S265" s="412" t="s">
        <v>513</v>
      </c>
      <c r="T265" s="412" t="s">
        <v>501</v>
      </c>
      <c r="U265" s="412" t="s">
        <v>502</v>
      </c>
      <c r="V265" s="412" t="s">
        <v>504</v>
      </c>
      <c r="W265" s="412" t="s">
        <v>505</v>
      </c>
    </row>
    <row r="266" spans="1:25">
      <c r="A266" s="399" t="s">
        <v>726</v>
      </c>
      <c r="C266" s="413">
        <v>6</v>
      </c>
      <c r="D266" s="413">
        <v>4.0999999999999996</v>
      </c>
      <c r="E266" s="413">
        <v>3.7</v>
      </c>
      <c r="F266" s="413">
        <v>3.6</v>
      </c>
      <c r="G266" s="413">
        <v>3</v>
      </c>
      <c r="I266" s="399" t="s">
        <v>726</v>
      </c>
      <c r="K266" s="413">
        <v>4.5</v>
      </c>
      <c r="L266" s="413">
        <v>3.3</v>
      </c>
      <c r="M266" s="413">
        <v>3</v>
      </c>
      <c r="N266" s="413">
        <v>2.9</v>
      </c>
      <c r="O266" s="413">
        <v>2.5</v>
      </c>
      <c r="Q266" s="399" t="s">
        <v>726</v>
      </c>
      <c r="S266" s="413">
        <v>4.9000000000000004</v>
      </c>
      <c r="T266" s="413">
        <v>3.5</v>
      </c>
      <c r="U266" s="413">
        <v>3.2</v>
      </c>
      <c r="V266" s="413">
        <v>3.2</v>
      </c>
      <c r="W266" s="413">
        <v>2.7</v>
      </c>
    </row>
    <row r="267" spans="1:25">
      <c r="A267" s="399" t="s">
        <v>727</v>
      </c>
      <c r="C267" s="413">
        <v>6.1</v>
      </c>
      <c r="D267" s="413">
        <v>4.5</v>
      </c>
      <c r="E267" s="413">
        <v>4.0999999999999996</v>
      </c>
      <c r="F267" s="413">
        <v>4</v>
      </c>
      <c r="G267" s="413">
        <v>3.5</v>
      </c>
      <c r="I267" s="399" t="s">
        <v>727</v>
      </c>
      <c r="K267" s="413">
        <v>4.5999999999999996</v>
      </c>
      <c r="L267" s="413">
        <v>3.6</v>
      </c>
      <c r="M267" s="413">
        <v>3.3</v>
      </c>
      <c r="N267" s="413">
        <v>3.2</v>
      </c>
      <c r="O267" s="413">
        <v>2.9</v>
      </c>
      <c r="Q267" s="399" t="s">
        <v>727</v>
      </c>
      <c r="S267" s="413">
        <v>5</v>
      </c>
      <c r="T267" s="413">
        <v>3.9</v>
      </c>
      <c r="U267" s="413">
        <v>3.5</v>
      </c>
      <c r="V267" s="413">
        <v>3.5</v>
      </c>
      <c r="W267" s="413">
        <v>3.1</v>
      </c>
    </row>
    <row r="268" spans="1:25">
      <c r="A268" s="399" t="s">
        <v>728</v>
      </c>
      <c r="C268" s="413">
        <v>6.2</v>
      </c>
      <c r="D268" s="413">
        <v>4.8</v>
      </c>
      <c r="E268" s="413">
        <v>4.5</v>
      </c>
      <c r="F268" s="413">
        <v>4.4000000000000004</v>
      </c>
      <c r="G268" s="413">
        <v>4</v>
      </c>
      <c r="I268" s="399" t="s">
        <v>728</v>
      </c>
      <c r="K268" s="413">
        <v>4.7</v>
      </c>
      <c r="L268" s="413">
        <v>3.8</v>
      </c>
      <c r="M268" s="413">
        <v>3.6</v>
      </c>
      <c r="N268" s="413">
        <v>3.5</v>
      </c>
      <c r="O268" s="413">
        <v>3.2</v>
      </c>
      <c r="Q268" s="399" t="s">
        <v>728</v>
      </c>
      <c r="S268" s="413">
        <v>5.0999999999999996</v>
      </c>
      <c r="T268" s="413">
        <v>4.0999999999999996</v>
      </c>
      <c r="U268" s="413">
        <v>3.9</v>
      </c>
      <c r="V268" s="413">
        <v>3.8</v>
      </c>
      <c r="W268" s="413">
        <v>3.5</v>
      </c>
      <c r="Y268" s="399" t="s">
        <v>491</v>
      </c>
    </row>
    <row r="269" spans="1:25">
      <c r="A269" s="399" t="s">
        <v>730</v>
      </c>
      <c r="C269" s="413" t="s">
        <v>236</v>
      </c>
      <c r="D269" s="413">
        <v>3.6</v>
      </c>
      <c r="E269" s="413">
        <v>3.2</v>
      </c>
      <c r="F269" s="413">
        <v>3.1</v>
      </c>
      <c r="G269" s="413">
        <v>2.6</v>
      </c>
      <c r="I269" s="399" t="s">
        <v>730</v>
      </c>
      <c r="K269" s="413" t="s">
        <v>236</v>
      </c>
      <c r="L269" s="413">
        <v>2.9</v>
      </c>
      <c r="M269" s="413">
        <v>2.7</v>
      </c>
      <c r="N269" s="413">
        <v>2.6</v>
      </c>
      <c r="O269" s="413">
        <v>2.2000000000000002</v>
      </c>
      <c r="Q269" s="399" t="s">
        <v>730</v>
      </c>
      <c r="S269" s="413" t="s">
        <v>236</v>
      </c>
      <c r="T269" s="413">
        <v>3.2</v>
      </c>
      <c r="U269" s="413">
        <v>2.8</v>
      </c>
      <c r="V269" s="413">
        <v>2.8</v>
      </c>
      <c r="W269" s="413">
        <v>2.4</v>
      </c>
      <c r="Y269" s="399" t="s">
        <v>492</v>
      </c>
    </row>
    <row r="270" spans="1:25">
      <c r="A270" s="399" t="s">
        <v>731</v>
      </c>
      <c r="C270" s="413" t="s">
        <v>236</v>
      </c>
      <c r="D270" s="413">
        <v>3.5</v>
      </c>
      <c r="E270" s="413">
        <v>3.2</v>
      </c>
      <c r="F270" s="413">
        <v>3.1</v>
      </c>
      <c r="G270" s="413">
        <v>2.7</v>
      </c>
      <c r="I270" s="399" t="s">
        <v>731</v>
      </c>
      <c r="K270" s="413" t="s">
        <v>236</v>
      </c>
      <c r="L270" s="413">
        <v>2.9</v>
      </c>
      <c r="M270" s="413">
        <v>2.7</v>
      </c>
      <c r="N270" s="413">
        <v>2.6</v>
      </c>
      <c r="O270" s="413">
        <v>2.2999999999999998</v>
      </c>
      <c r="Q270" s="399" t="s">
        <v>731</v>
      </c>
      <c r="S270" s="413" t="s">
        <v>236</v>
      </c>
      <c r="T270" s="413">
        <v>3.1</v>
      </c>
      <c r="U270" s="413">
        <v>2.8</v>
      </c>
      <c r="V270" s="413">
        <v>2.5</v>
      </c>
      <c r="W270" s="413">
        <v>2.4</v>
      </c>
      <c r="Y270" s="399" t="s">
        <v>493</v>
      </c>
    </row>
    <row r="271" spans="1:25">
      <c r="A271" s="399" t="s">
        <v>732</v>
      </c>
      <c r="C271" s="413" t="s">
        <v>236</v>
      </c>
      <c r="D271" s="413">
        <v>3.5</v>
      </c>
      <c r="E271" s="413">
        <v>3.2</v>
      </c>
      <c r="F271" s="413">
        <v>3</v>
      </c>
      <c r="G271" s="413">
        <v>2.8</v>
      </c>
      <c r="I271" s="399" t="s">
        <v>732</v>
      </c>
      <c r="K271" s="413" t="s">
        <v>236</v>
      </c>
      <c r="L271" s="413">
        <v>2.9</v>
      </c>
      <c r="M271" s="413">
        <v>2.7</v>
      </c>
      <c r="N271" s="413">
        <v>2.5</v>
      </c>
      <c r="O271" s="413">
        <v>2.4</v>
      </c>
      <c r="Q271" s="399" t="s">
        <v>732</v>
      </c>
      <c r="S271" s="413" t="s">
        <v>236</v>
      </c>
      <c r="T271" s="413">
        <v>3.1</v>
      </c>
      <c r="U271" s="413">
        <v>2.8</v>
      </c>
      <c r="V271" s="413">
        <v>2.7</v>
      </c>
      <c r="W271" s="413">
        <v>2.5</v>
      </c>
      <c r="Y271" s="399" t="s">
        <v>486</v>
      </c>
    </row>
    <row r="272" spans="1:25">
      <c r="A272" s="399" t="s">
        <v>733</v>
      </c>
      <c r="C272" s="413" t="s">
        <v>236</v>
      </c>
      <c r="D272" s="413">
        <v>3.4</v>
      </c>
      <c r="E272" s="413">
        <v>3</v>
      </c>
      <c r="F272" s="413">
        <v>3</v>
      </c>
      <c r="G272" s="413">
        <v>2.2999999999999998</v>
      </c>
      <c r="I272" s="399" t="s">
        <v>733</v>
      </c>
      <c r="K272" s="413" t="s">
        <v>236</v>
      </c>
      <c r="L272" s="413">
        <v>2.8</v>
      </c>
      <c r="M272" s="413">
        <v>2.5</v>
      </c>
      <c r="N272" s="413">
        <v>2.5</v>
      </c>
      <c r="O272" s="413">
        <v>2</v>
      </c>
      <c r="Q272" s="399" t="s">
        <v>733</v>
      </c>
      <c r="S272" s="413" t="s">
        <v>236</v>
      </c>
      <c r="T272" s="413">
        <v>3</v>
      </c>
      <c r="U272" s="413">
        <v>2.7</v>
      </c>
      <c r="V272" s="413">
        <v>2.7</v>
      </c>
      <c r="W272" s="413">
        <v>2.1</v>
      </c>
      <c r="Y272" s="399" t="s">
        <v>494</v>
      </c>
    </row>
    <row r="273" spans="1:25">
      <c r="A273" s="399" t="s">
        <v>734</v>
      </c>
      <c r="C273" s="413" t="s">
        <v>236</v>
      </c>
      <c r="D273" s="413">
        <v>3.3</v>
      </c>
      <c r="E273" s="413">
        <v>3</v>
      </c>
      <c r="F273" s="413">
        <v>2.9</v>
      </c>
      <c r="G273" s="413">
        <v>2.4</v>
      </c>
      <c r="I273" s="399" t="s">
        <v>734</v>
      </c>
      <c r="K273" s="413" t="s">
        <v>236</v>
      </c>
      <c r="L273" s="413">
        <v>2.7</v>
      </c>
      <c r="M273" s="413">
        <v>2.5</v>
      </c>
      <c r="N273" s="413">
        <v>2.4</v>
      </c>
      <c r="O273" s="413">
        <v>2.1</v>
      </c>
      <c r="Q273" s="399" t="s">
        <v>734</v>
      </c>
      <c r="S273" s="413" t="s">
        <v>236</v>
      </c>
      <c r="T273" s="413">
        <v>2.9</v>
      </c>
      <c r="U273" s="413">
        <v>2.7</v>
      </c>
      <c r="V273" s="413">
        <v>2.6</v>
      </c>
      <c r="W273" s="413">
        <v>2.2000000000000002</v>
      </c>
      <c r="Y273" s="398" t="s">
        <v>854</v>
      </c>
    </row>
    <row r="274" spans="1:25">
      <c r="A274" s="399" t="s">
        <v>735</v>
      </c>
      <c r="C274" s="413" t="s">
        <v>236</v>
      </c>
      <c r="D274" s="413">
        <v>3.2</v>
      </c>
      <c r="E274" s="413">
        <v>3</v>
      </c>
      <c r="F274" s="413">
        <v>2.9</v>
      </c>
      <c r="G274" s="413">
        <v>2.4</v>
      </c>
      <c r="I274" s="399" t="s">
        <v>735</v>
      </c>
      <c r="K274" s="413" t="s">
        <v>236</v>
      </c>
      <c r="L274" s="413">
        <v>2.7</v>
      </c>
      <c r="M274" s="413">
        <v>2.5</v>
      </c>
      <c r="N274" s="413">
        <v>2.4</v>
      </c>
      <c r="O274" s="413">
        <v>2.1</v>
      </c>
      <c r="Q274" s="399" t="s">
        <v>735</v>
      </c>
      <c r="S274" s="413" t="s">
        <v>236</v>
      </c>
      <c r="T274" s="413">
        <v>2.8</v>
      </c>
      <c r="U274" s="413">
        <v>2.7</v>
      </c>
      <c r="V274" s="413">
        <v>2.6</v>
      </c>
      <c r="W274" s="413">
        <v>2.2000000000000002</v>
      </c>
      <c r="Y274" s="398" t="s">
        <v>855</v>
      </c>
    </row>
    <row r="275" spans="1:25">
      <c r="A275" s="399" t="s">
        <v>736</v>
      </c>
      <c r="C275" s="413" t="s">
        <v>236</v>
      </c>
      <c r="D275" s="413">
        <v>3.4</v>
      </c>
      <c r="E275" s="413">
        <v>3</v>
      </c>
      <c r="F275" s="413">
        <v>2.9</v>
      </c>
      <c r="G275" s="413">
        <v>2.2000000000000002</v>
      </c>
      <c r="I275" s="399" t="s">
        <v>736</v>
      </c>
      <c r="K275" s="413" t="s">
        <v>236</v>
      </c>
      <c r="L275" s="413">
        <v>2.8</v>
      </c>
      <c r="M275" s="413">
        <v>2.5</v>
      </c>
      <c r="N275" s="413">
        <v>2.4</v>
      </c>
      <c r="O275" s="413">
        <v>1.9</v>
      </c>
      <c r="Q275" s="399" t="s">
        <v>736</v>
      </c>
      <c r="S275" s="413" t="s">
        <v>236</v>
      </c>
      <c r="T275" s="413">
        <v>3</v>
      </c>
      <c r="U275" s="413">
        <v>2.7</v>
      </c>
      <c r="V275" s="413">
        <v>2.6</v>
      </c>
      <c r="W275" s="413">
        <v>2</v>
      </c>
    </row>
    <row r="276" spans="1:25">
      <c r="A276" s="399" t="s">
        <v>737</v>
      </c>
      <c r="C276" s="413" t="s">
        <v>236</v>
      </c>
      <c r="D276" s="413">
        <v>3.3</v>
      </c>
      <c r="E276" s="413">
        <v>2.9</v>
      </c>
      <c r="F276" s="413">
        <v>2.9</v>
      </c>
      <c r="G276" s="413">
        <v>2.2999999999999998</v>
      </c>
      <c r="I276" s="399" t="s">
        <v>737</v>
      </c>
      <c r="K276" s="413" t="s">
        <v>236</v>
      </c>
      <c r="L276" s="413">
        <v>2.7</v>
      </c>
      <c r="M276" s="413">
        <v>2.4</v>
      </c>
      <c r="N276" s="413">
        <v>2.4</v>
      </c>
      <c r="O276" s="413">
        <v>2</v>
      </c>
      <c r="Q276" s="399" t="s">
        <v>737</v>
      </c>
      <c r="S276" s="413" t="s">
        <v>236</v>
      </c>
      <c r="T276" s="413">
        <v>2.9</v>
      </c>
      <c r="U276" s="413">
        <v>2.6</v>
      </c>
      <c r="V276" s="413">
        <v>2.6</v>
      </c>
      <c r="W276" s="413">
        <v>2.1</v>
      </c>
    </row>
    <row r="277" spans="1:25">
      <c r="A277" s="399" t="s">
        <v>738</v>
      </c>
      <c r="C277" s="413" t="s">
        <v>236</v>
      </c>
      <c r="D277" s="413">
        <v>3.2</v>
      </c>
      <c r="E277" s="413">
        <v>2.9</v>
      </c>
      <c r="F277" s="413">
        <v>2.9</v>
      </c>
      <c r="G277" s="413">
        <v>2.4</v>
      </c>
      <c r="I277" s="399" t="s">
        <v>738</v>
      </c>
      <c r="K277" s="413" t="s">
        <v>236</v>
      </c>
      <c r="L277" s="413">
        <v>2.7</v>
      </c>
      <c r="M277" s="413">
        <v>2.4</v>
      </c>
      <c r="N277" s="413">
        <v>2.4</v>
      </c>
      <c r="O277" s="413">
        <v>2.1</v>
      </c>
      <c r="Q277" s="399" t="s">
        <v>738</v>
      </c>
      <c r="S277" s="413" t="s">
        <v>236</v>
      </c>
      <c r="T277" s="413">
        <v>2.8</v>
      </c>
      <c r="U277" s="413">
        <v>2.6</v>
      </c>
      <c r="V277" s="413">
        <v>2.6</v>
      </c>
      <c r="W277" s="413">
        <v>2.2000000000000002</v>
      </c>
    </row>
    <row r="278" spans="1:25">
      <c r="A278" s="399" t="s">
        <v>739</v>
      </c>
      <c r="C278" s="413">
        <v>5</v>
      </c>
      <c r="D278" s="413">
        <v>3.2</v>
      </c>
      <c r="E278" s="413">
        <v>2.9</v>
      </c>
      <c r="F278" s="413">
        <v>2.7</v>
      </c>
      <c r="G278" s="413">
        <v>2.1</v>
      </c>
      <c r="I278" s="399" t="s">
        <v>739</v>
      </c>
      <c r="K278" s="413">
        <v>3.9</v>
      </c>
      <c r="L278" s="413">
        <v>2.7</v>
      </c>
      <c r="M278" s="413">
        <v>2.4</v>
      </c>
      <c r="N278" s="413">
        <v>2.2999999999999998</v>
      </c>
      <c r="O278" s="413">
        <v>1.8</v>
      </c>
      <c r="Q278" s="399" t="s">
        <v>739</v>
      </c>
      <c r="S278" s="413">
        <v>4.2</v>
      </c>
      <c r="T278" s="413">
        <v>2.8</v>
      </c>
      <c r="U278" s="413">
        <v>2.6</v>
      </c>
      <c r="V278" s="413">
        <v>2.4</v>
      </c>
      <c r="W278" s="413">
        <v>1.9</v>
      </c>
    </row>
    <row r="279" spans="1:25">
      <c r="A279" s="399" t="s">
        <v>740</v>
      </c>
      <c r="C279" s="413">
        <v>4.7</v>
      </c>
      <c r="D279" s="413">
        <v>3.1</v>
      </c>
      <c r="E279" s="413">
        <v>2.8</v>
      </c>
      <c r="F279" s="413">
        <v>2.6</v>
      </c>
      <c r="G279" s="413">
        <v>2.1</v>
      </c>
      <c r="I279" s="399" t="s">
        <v>740</v>
      </c>
      <c r="K279" s="413">
        <v>3.7</v>
      </c>
      <c r="L279" s="413">
        <v>2.6</v>
      </c>
      <c r="M279" s="413">
        <v>2.4</v>
      </c>
      <c r="N279" s="413">
        <v>2.2000000000000002</v>
      </c>
      <c r="O279" s="413">
        <v>1.8</v>
      </c>
      <c r="Q279" s="399" t="s">
        <v>740</v>
      </c>
      <c r="S279" s="413">
        <v>4</v>
      </c>
      <c r="T279" s="413">
        <v>2.8</v>
      </c>
      <c r="U279" s="413">
        <v>2.5</v>
      </c>
      <c r="V279" s="413">
        <v>2.4</v>
      </c>
      <c r="W279" s="413">
        <v>1.9</v>
      </c>
    </row>
    <row r="280" spans="1:25">
      <c r="A280" s="399" t="s">
        <v>741</v>
      </c>
      <c r="C280" s="413">
        <v>4.3</v>
      </c>
      <c r="D280" s="413">
        <v>3</v>
      </c>
      <c r="E280" s="413">
        <v>2.7</v>
      </c>
      <c r="F280" s="413">
        <v>2.6</v>
      </c>
      <c r="G280" s="413">
        <v>2.1</v>
      </c>
      <c r="I280" s="399" t="s">
        <v>741</v>
      </c>
      <c r="K280" s="413">
        <v>3.4</v>
      </c>
      <c r="L280" s="413">
        <v>2.5</v>
      </c>
      <c r="M280" s="413">
        <v>2.2999999999999998</v>
      </c>
      <c r="N280" s="413">
        <v>2.2000000000000002</v>
      </c>
      <c r="O280" s="413">
        <v>1.8</v>
      </c>
      <c r="Q280" s="399" t="s">
        <v>741</v>
      </c>
      <c r="S280" s="413">
        <v>3.7</v>
      </c>
      <c r="T280" s="413">
        <v>2.7</v>
      </c>
      <c r="U280" s="413">
        <v>2.4</v>
      </c>
      <c r="V280" s="413">
        <v>2.4</v>
      </c>
      <c r="W280" s="413">
        <v>1.9</v>
      </c>
    </row>
    <row r="281" spans="1:25">
      <c r="A281" s="398" t="s">
        <v>742</v>
      </c>
      <c r="C281" s="413">
        <v>2.4</v>
      </c>
      <c r="D281" s="413" t="s">
        <v>236</v>
      </c>
      <c r="E281" s="413" t="s">
        <v>236</v>
      </c>
      <c r="F281" s="413" t="s">
        <v>236</v>
      </c>
      <c r="G281" s="413" t="s">
        <v>236</v>
      </c>
      <c r="I281" s="398" t="s">
        <v>742</v>
      </c>
      <c r="K281" s="413" t="s">
        <v>236</v>
      </c>
      <c r="L281" s="413" t="s">
        <v>236</v>
      </c>
      <c r="M281" s="413" t="s">
        <v>236</v>
      </c>
      <c r="N281" s="413" t="s">
        <v>236</v>
      </c>
      <c r="O281" s="413" t="s">
        <v>236</v>
      </c>
      <c r="Q281" s="398" t="s">
        <v>742</v>
      </c>
      <c r="S281" s="413" t="s">
        <v>236</v>
      </c>
      <c r="T281" s="413" t="s">
        <v>236</v>
      </c>
      <c r="U281" s="413" t="s">
        <v>236</v>
      </c>
      <c r="V281" s="413" t="s">
        <v>236</v>
      </c>
      <c r="W281" s="413" t="s">
        <v>236</v>
      </c>
    </row>
    <row r="282" spans="1:25">
      <c r="A282" s="398" t="s">
        <v>743</v>
      </c>
      <c r="C282" s="413">
        <v>2.2999999999999998</v>
      </c>
      <c r="D282" s="413" t="s">
        <v>236</v>
      </c>
      <c r="E282" s="413" t="s">
        <v>236</v>
      </c>
      <c r="F282" s="413" t="s">
        <v>236</v>
      </c>
      <c r="G282" s="413" t="s">
        <v>236</v>
      </c>
      <c r="I282" s="398" t="s">
        <v>743</v>
      </c>
      <c r="K282" s="413" t="s">
        <v>236</v>
      </c>
      <c r="L282" s="413" t="s">
        <v>236</v>
      </c>
      <c r="M282" s="413" t="s">
        <v>236</v>
      </c>
      <c r="N282" s="413" t="s">
        <v>236</v>
      </c>
      <c r="O282" s="413" t="s">
        <v>236</v>
      </c>
      <c r="Q282" s="398" t="s">
        <v>743</v>
      </c>
      <c r="S282" s="413" t="s">
        <v>236</v>
      </c>
      <c r="T282" s="413" t="s">
        <v>236</v>
      </c>
      <c r="U282" s="413" t="s">
        <v>236</v>
      </c>
      <c r="V282" s="413" t="s">
        <v>236</v>
      </c>
      <c r="W282" s="413" t="s">
        <v>236</v>
      </c>
    </row>
    <row r="283" spans="1:25">
      <c r="A283" s="398" t="s">
        <v>744</v>
      </c>
      <c r="C283" s="413">
        <v>2.1</v>
      </c>
      <c r="D283" s="413" t="s">
        <v>236</v>
      </c>
      <c r="E283" s="413" t="s">
        <v>236</v>
      </c>
      <c r="F283" s="413" t="s">
        <v>236</v>
      </c>
      <c r="G283" s="413" t="s">
        <v>236</v>
      </c>
      <c r="I283" s="398" t="s">
        <v>744</v>
      </c>
      <c r="K283" s="413" t="s">
        <v>236</v>
      </c>
      <c r="L283" s="413" t="s">
        <v>236</v>
      </c>
      <c r="M283" s="413" t="s">
        <v>236</v>
      </c>
      <c r="N283" s="413" t="s">
        <v>236</v>
      </c>
      <c r="O283" s="413" t="s">
        <v>236</v>
      </c>
      <c r="Q283" s="398" t="s">
        <v>744</v>
      </c>
      <c r="S283" s="413" t="s">
        <v>236</v>
      </c>
      <c r="T283" s="413" t="s">
        <v>236</v>
      </c>
      <c r="U283" s="413" t="s">
        <v>236</v>
      </c>
      <c r="V283" s="413" t="s">
        <v>236</v>
      </c>
      <c r="W283" s="413" t="s">
        <v>236</v>
      </c>
    </row>
    <row r="284" spans="1:25">
      <c r="A284" s="398" t="s">
        <v>745</v>
      </c>
      <c r="C284" s="413">
        <v>3.9</v>
      </c>
      <c r="D284" s="413" t="s">
        <v>236</v>
      </c>
      <c r="E284" s="413" t="s">
        <v>236</v>
      </c>
      <c r="F284" s="413" t="s">
        <v>236</v>
      </c>
      <c r="G284" s="413" t="s">
        <v>236</v>
      </c>
      <c r="I284" s="398" t="s">
        <v>745</v>
      </c>
      <c r="K284" s="413" t="s">
        <v>236</v>
      </c>
      <c r="L284" s="413" t="s">
        <v>236</v>
      </c>
      <c r="M284" s="413" t="s">
        <v>236</v>
      </c>
      <c r="N284" s="413" t="s">
        <v>236</v>
      </c>
      <c r="O284" s="413" t="s">
        <v>236</v>
      </c>
      <c r="Q284" s="398" t="s">
        <v>745</v>
      </c>
      <c r="S284" s="413" t="s">
        <v>236</v>
      </c>
      <c r="T284" s="413" t="s">
        <v>236</v>
      </c>
      <c r="U284" s="413" t="s">
        <v>236</v>
      </c>
      <c r="V284" s="413" t="s">
        <v>236</v>
      </c>
      <c r="W284" s="413" t="s">
        <v>236</v>
      </c>
    </row>
    <row r="285" spans="1:25">
      <c r="A285" s="398" t="s">
        <v>746</v>
      </c>
      <c r="C285" s="413">
        <v>3.6</v>
      </c>
      <c r="D285" s="413" t="s">
        <v>236</v>
      </c>
      <c r="E285" s="413" t="s">
        <v>236</v>
      </c>
      <c r="F285" s="413" t="s">
        <v>236</v>
      </c>
      <c r="G285" s="413" t="s">
        <v>236</v>
      </c>
      <c r="I285" s="398" t="s">
        <v>746</v>
      </c>
      <c r="K285" s="413" t="s">
        <v>236</v>
      </c>
      <c r="L285" s="413" t="s">
        <v>236</v>
      </c>
      <c r="M285" s="413" t="s">
        <v>236</v>
      </c>
      <c r="N285" s="413" t="s">
        <v>236</v>
      </c>
      <c r="O285" s="413" t="s">
        <v>236</v>
      </c>
      <c r="Q285" s="398" t="s">
        <v>746</v>
      </c>
      <c r="S285" s="413" t="s">
        <v>236</v>
      </c>
      <c r="T285" s="413" t="s">
        <v>236</v>
      </c>
      <c r="U285" s="413" t="s">
        <v>236</v>
      </c>
      <c r="V285" s="413" t="s">
        <v>236</v>
      </c>
      <c r="W285" s="413" t="s">
        <v>236</v>
      </c>
    </row>
    <row r="286" spans="1:25">
      <c r="A286" s="398" t="s">
        <v>747</v>
      </c>
      <c r="C286" s="413">
        <v>3.3</v>
      </c>
      <c r="D286" s="413" t="s">
        <v>236</v>
      </c>
      <c r="E286" s="413" t="s">
        <v>236</v>
      </c>
      <c r="F286" s="413" t="s">
        <v>236</v>
      </c>
      <c r="G286" s="413" t="s">
        <v>236</v>
      </c>
      <c r="I286" s="398" t="s">
        <v>747</v>
      </c>
      <c r="K286" s="413" t="s">
        <v>236</v>
      </c>
      <c r="L286" s="413" t="s">
        <v>236</v>
      </c>
      <c r="M286" s="413" t="s">
        <v>236</v>
      </c>
      <c r="N286" s="413" t="s">
        <v>236</v>
      </c>
      <c r="O286" s="413" t="s">
        <v>236</v>
      </c>
      <c r="Q286" s="398" t="s">
        <v>747</v>
      </c>
      <c r="S286" s="413" t="s">
        <v>236</v>
      </c>
      <c r="T286" s="413" t="s">
        <v>236</v>
      </c>
      <c r="U286" s="413" t="s">
        <v>236</v>
      </c>
      <c r="V286" s="413" t="s">
        <v>236</v>
      </c>
      <c r="W286" s="413" t="s">
        <v>236</v>
      </c>
    </row>
    <row r="287" spans="1:25">
      <c r="T287" s="402"/>
    </row>
    <row r="289" spans="1:21">
      <c r="A289" s="291" t="s">
        <v>788</v>
      </c>
      <c r="D289" s="430" t="s">
        <v>781</v>
      </c>
      <c r="F289" s="291" t="s">
        <v>789</v>
      </c>
      <c r="J289" s="357" t="s">
        <v>782</v>
      </c>
      <c r="L289" s="291" t="s">
        <v>783</v>
      </c>
    </row>
    <row r="290" spans="1:21">
      <c r="A290" s="291" t="s">
        <v>766</v>
      </c>
      <c r="D290" s="354">
        <v>1.07</v>
      </c>
      <c r="F290" s="291" t="s">
        <v>775</v>
      </c>
      <c r="J290" s="332">
        <v>0.75</v>
      </c>
      <c r="L290" s="291" t="s">
        <v>784</v>
      </c>
    </row>
    <row r="291" spans="1:21">
      <c r="A291" s="291" t="s">
        <v>767</v>
      </c>
      <c r="D291" s="354">
        <v>1.1100000000000001</v>
      </c>
      <c r="F291" s="291" t="s">
        <v>776</v>
      </c>
      <c r="J291" s="332">
        <v>0.8</v>
      </c>
      <c r="L291" s="291" t="s">
        <v>785</v>
      </c>
      <c r="O291" s="676" t="s">
        <v>154</v>
      </c>
      <c r="P291" s="677"/>
      <c r="Q291" s="677"/>
      <c r="R291" s="125"/>
      <c r="S291" s="946" t="str">
        <f>ΥΠΟΛΟΓΙΣΜΟΙ!G65</f>
        <v>0</v>
      </c>
      <c r="T291" s="947"/>
      <c r="U291" s="948"/>
    </row>
    <row r="292" spans="1:21">
      <c r="A292" s="291" t="s">
        <v>768</v>
      </c>
      <c r="D292" s="354">
        <v>1.0900000000000001</v>
      </c>
      <c r="F292" s="291" t="s">
        <v>777</v>
      </c>
      <c r="J292" s="332">
        <v>0.85</v>
      </c>
      <c r="L292" s="291" t="s">
        <v>786</v>
      </c>
      <c r="O292" s="640" t="s">
        <v>788</v>
      </c>
      <c r="P292" s="641"/>
      <c r="Q292" s="641"/>
      <c r="R292" s="642"/>
      <c r="S292" s="949" t="str">
        <f>ΥΠΟΛΟΓΙΣΜΟΙ!D66</f>
        <v>τυπος καυσιμου (πιν. 4.2α):</v>
      </c>
      <c r="T292" s="950"/>
      <c r="U292" s="951"/>
    </row>
    <row r="293" spans="1:21">
      <c r="A293" s="291" t="s">
        <v>769</v>
      </c>
      <c r="D293" s="354">
        <v>1.0900000000000001</v>
      </c>
      <c r="F293" s="291" t="s">
        <v>778</v>
      </c>
      <c r="J293" s="332">
        <v>0.95</v>
      </c>
      <c r="O293" s="640" t="s">
        <v>789</v>
      </c>
      <c r="P293" s="641"/>
      <c r="Q293" s="641"/>
      <c r="R293" s="642"/>
      <c r="S293" s="949" t="str">
        <f>ΥΠΟΛΟΓΙΣΜΟΙ!D67</f>
        <v>τυπος λεβητα (πιν. 4.2β):</v>
      </c>
      <c r="T293" s="950"/>
      <c r="U293" s="951"/>
    </row>
    <row r="294" spans="1:21">
      <c r="A294" s="291" t="s">
        <v>770</v>
      </c>
      <c r="D294" s="354">
        <v>1.1000000000000001</v>
      </c>
      <c r="F294" s="291" t="s">
        <v>779</v>
      </c>
      <c r="J294" s="332">
        <v>0.75</v>
      </c>
      <c r="L294" s="291" t="s">
        <v>787</v>
      </c>
      <c r="O294" s="640" t="s">
        <v>783</v>
      </c>
      <c r="P294" s="641"/>
      <c r="Q294" s="641"/>
      <c r="R294" s="642"/>
      <c r="S294" s="949" t="str">
        <f>ΥΠΟΛΟΓΙΣΜΟΙ!D68</f>
        <v>βαθμος αποδοσης από:</v>
      </c>
      <c r="T294" s="950"/>
      <c r="U294" s="951"/>
    </row>
    <row r="295" spans="1:21">
      <c r="A295" s="291" t="s">
        <v>771</v>
      </c>
      <c r="D295" s="354">
        <v>1.1100000000000001</v>
      </c>
      <c r="F295" s="291" t="s">
        <v>780</v>
      </c>
      <c r="J295" s="332">
        <v>0.82</v>
      </c>
      <c r="L295" s="291" t="s">
        <v>790</v>
      </c>
      <c r="O295" s="640" t="s">
        <v>787</v>
      </c>
      <c r="P295" s="641"/>
      <c r="Q295" s="641"/>
      <c r="R295" s="642"/>
      <c r="S295" s="949" t="str">
        <f>ΥΠΟΛΟΓΙΣΜΟΙ!D69</f>
        <v>κατασταση μονωσης:</v>
      </c>
      <c r="T295" s="950"/>
      <c r="U295" s="951"/>
    </row>
    <row r="296" spans="1:21">
      <c r="A296" s="291" t="s">
        <v>772</v>
      </c>
      <c r="D296" s="354">
        <v>1.1200000000000001</v>
      </c>
      <c r="L296" s="291" t="s">
        <v>791</v>
      </c>
      <c r="O296" s="638" t="s">
        <v>793</v>
      </c>
      <c r="P296" s="639"/>
      <c r="Q296" s="435" t="str">
        <f>IF(S294="Σημανση 811/13 της ΕΕ","nsΑθ :","ngm :")</f>
        <v>ngm :</v>
      </c>
      <c r="R296" s="436"/>
      <c r="S296" s="952">
        <f>ΥΠΟΛΟΓΙΣΜΟΙ!G70</f>
        <v>0</v>
      </c>
      <c r="T296" s="953"/>
      <c r="U296" s="954"/>
    </row>
    <row r="297" spans="1:21">
      <c r="A297" s="291" t="s">
        <v>773</v>
      </c>
      <c r="D297" s="354">
        <v>1.08</v>
      </c>
      <c r="L297" s="291" t="s">
        <v>792</v>
      </c>
      <c r="O297" s="941" t="s">
        <v>544</v>
      </c>
      <c r="P297" s="942"/>
      <c r="Q297" s="942"/>
      <c r="R297" s="942"/>
      <c r="S297" s="943" t="str">
        <f>IF(ΥΠΟΛΟΓΙΣΜΟΙ!C72&gt;20,ΥΠΟΛΟΓΙΣΜΟΙ!C72,20)</f>
        <v>-</v>
      </c>
      <c r="T297" s="944"/>
      <c r="U297" s="945"/>
    </row>
    <row r="298" spans="1:21">
      <c r="A298" s="291" t="s">
        <v>774</v>
      </c>
      <c r="D298" s="354">
        <v>1.0900000000000001</v>
      </c>
    </row>
    <row r="299" spans="1:21">
      <c r="R299" s="291">
        <f>MROUND(S291,100)</f>
        <v>0</v>
      </c>
      <c r="S299" s="291">
        <f>IF(R299-S291&lt;0,R299+100,R299)</f>
        <v>0</v>
      </c>
      <c r="T299" s="360" t="s">
        <v>814</v>
      </c>
      <c r="U299" s="291" t="e">
        <f>IF(OR(S291&lt;25,S291=25),INDEX(D303:D308,MATCH(S293,A303:A308,0)),IF(S291&gt;400,INDEX(I303:I308,MATCH(S293,A303:A308,0)),INDEX(E303:H308,MATCH(S293,A303:A308,0),MATCH(S299,E302:H302,0))))</f>
        <v>#N/A</v>
      </c>
    </row>
    <row r="300" spans="1:21">
      <c r="Q300" s="357" t="s">
        <v>812</v>
      </c>
      <c r="T300" s="360" t="s">
        <v>813</v>
      </c>
      <c r="U300" s="291" t="e">
        <f>U299</f>
        <v>#N/A</v>
      </c>
    </row>
    <row r="301" spans="1:21">
      <c r="D301" s="444" t="s">
        <v>801</v>
      </c>
      <c r="E301" s="444" t="s">
        <v>802</v>
      </c>
      <c r="F301" s="444" t="s">
        <v>803</v>
      </c>
      <c r="G301" s="444" t="s">
        <v>803</v>
      </c>
      <c r="H301" s="444" t="s">
        <v>803</v>
      </c>
      <c r="I301" s="444" t="s">
        <v>804</v>
      </c>
      <c r="K301" s="357" t="s">
        <v>810</v>
      </c>
      <c r="N301" s="430" t="s">
        <v>681</v>
      </c>
      <c r="O301" s="430" t="s">
        <v>809</v>
      </c>
      <c r="Q301" s="291" t="e">
        <f>IF(S294=L291,INDEX(D290:D298,MATCH(S292,A290:A298,0))*(S296+0.03),IF(S294=L290,S296*U300,(INDEX(J290:J295,MATCH(S293,F290:F295,0))*U300)))</f>
        <v>#N/A</v>
      </c>
    </row>
    <row r="302" spans="1:21">
      <c r="A302" s="357" t="s">
        <v>800</v>
      </c>
      <c r="D302" s="429"/>
      <c r="E302" s="429">
        <v>100</v>
      </c>
      <c r="F302" s="429">
        <v>200</v>
      </c>
      <c r="G302" s="429">
        <v>300</v>
      </c>
      <c r="H302" s="429">
        <v>400</v>
      </c>
      <c r="I302" s="429"/>
      <c r="J302" s="360"/>
      <c r="K302" s="291" t="s">
        <v>775</v>
      </c>
      <c r="N302" s="446">
        <v>0</v>
      </c>
      <c r="O302" s="446">
        <v>1</v>
      </c>
    </row>
    <row r="303" spans="1:21">
      <c r="A303" s="291" t="s">
        <v>775</v>
      </c>
      <c r="D303" s="384">
        <v>0.82</v>
      </c>
      <c r="E303" s="384">
        <v>0.84</v>
      </c>
      <c r="F303" s="384">
        <v>0.87</v>
      </c>
      <c r="G303" s="384">
        <v>0.87</v>
      </c>
      <c r="H303" s="384">
        <v>0.87</v>
      </c>
      <c r="I303" s="384">
        <v>0.9</v>
      </c>
      <c r="J303" s="360"/>
      <c r="K303" s="291" t="s">
        <v>776</v>
      </c>
      <c r="N303" s="446">
        <v>0</v>
      </c>
      <c r="O303" s="446">
        <v>1</v>
      </c>
    </row>
    <row r="304" spans="1:21">
      <c r="A304" s="291" t="s">
        <v>776</v>
      </c>
      <c r="D304" s="384">
        <v>0.85</v>
      </c>
      <c r="E304" s="384">
        <v>0.88</v>
      </c>
      <c r="F304" s="384">
        <v>0.91</v>
      </c>
      <c r="G304" s="384">
        <v>0.91</v>
      </c>
      <c r="H304" s="384">
        <v>0.91</v>
      </c>
      <c r="I304" s="384">
        <v>0.92</v>
      </c>
      <c r="J304" s="360"/>
      <c r="K304" s="291" t="s">
        <v>777</v>
      </c>
      <c r="N304" s="446">
        <v>0</v>
      </c>
      <c r="O304" s="446">
        <v>1</v>
      </c>
      <c r="Q304" s="357" t="s">
        <v>815</v>
      </c>
    </row>
    <row r="305" spans="1:21">
      <c r="A305" s="291" t="s">
        <v>777</v>
      </c>
      <c r="D305" s="384">
        <v>0.91</v>
      </c>
      <c r="E305" s="384">
        <v>0.93500000000000005</v>
      </c>
      <c r="F305" s="384">
        <v>0.96499999999999997</v>
      </c>
      <c r="G305" s="384">
        <v>0.96499999999999997</v>
      </c>
      <c r="H305" s="384">
        <v>0.96499999999999997</v>
      </c>
      <c r="I305" s="384">
        <v>0.96499999999999997</v>
      </c>
      <c r="J305" s="360" t="s">
        <v>806</v>
      </c>
      <c r="K305" s="291" t="s">
        <v>778</v>
      </c>
      <c r="N305" s="446">
        <v>0</v>
      </c>
      <c r="O305" s="446">
        <v>1</v>
      </c>
    </row>
    <row r="306" spans="1:21">
      <c r="A306" s="291" t="s">
        <v>778</v>
      </c>
      <c r="D306" s="384">
        <v>0.95</v>
      </c>
      <c r="E306" s="384">
        <v>0.96</v>
      </c>
      <c r="F306" s="384">
        <v>0.97699999999999998</v>
      </c>
      <c r="G306" s="384">
        <v>0.97699999999999998</v>
      </c>
      <c r="H306" s="384">
        <v>0.97699999999999998</v>
      </c>
      <c r="I306" s="384">
        <v>0.97699999999999998</v>
      </c>
      <c r="J306" s="360"/>
      <c r="K306" s="291" t="s">
        <v>779</v>
      </c>
      <c r="N306" s="446">
        <v>0</v>
      </c>
      <c r="O306" s="446">
        <v>1</v>
      </c>
      <c r="Q306" s="291" t="s">
        <v>148</v>
      </c>
      <c r="R306" s="448" t="e">
        <f>S291/S297</f>
        <v>#VALUE!</v>
      </c>
    </row>
    <row r="307" spans="1:21">
      <c r="A307" s="291" t="s">
        <v>779</v>
      </c>
      <c r="D307" s="384">
        <v>0.82</v>
      </c>
      <c r="E307" s="384">
        <v>0.84</v>
      </c>
      <c r="F307" s="384">
        <v>0.87</v>
      </c>
      <c r="G307" s="384">
        <v>0.87</v>
      </c>
      <c r="H307" s="384">
        <v>0.87</v>
      </c>
      <c r="I307" s="384">
        <v>0.9</v>
      </c>
      <c r="J307" s="360"/>
      <c r="K307" s="291" t="s">
        <v>780</v>
      </c>
      <c r="N307" s="446">
        <v>0</v>
      </c>
      <c r="O307" s="446">
        <v>1</v>
      </c>
    </row>
    <row r="308" spans="1:21">
      <c r="A308" s="291" t="s">
        <v>780</v>
      </c>
      <c r="D308" s="384">
        <v>0.82</v>
      </c>
      <c r="E308" s="384">
        <v>0.84</v>
      </c>
      <c r="F308" s="384">
        <v>0.87</v>
      </c>
      <c r="G308" s="384">
        <v>0.87</v>
      </c>
      <c r="H308" s="384">
        <v>0.87</v>
      </c>
      <c r="I308" s="384">
        <v>0.9</v>
      </c>
      <c r="J308" s="360"/>
      <c r="N308" s="446"/>
      <c r="O308" s="446"/>
      <c r="Q308" s="448" t="e">
        <f>IF(OR(R306=1,R306&lt;1),1,0)</f>
        <v>#VALUE!</v>
      </c>
      <c r="R308" s="448"/>
      <c r="S308" s="448" t="e">
        <f>Q308</f>
        <v>#VALUE!</v>
      </c>
    </row>
    <row r="309" spans="1:21">
      <c r="J309" s="360"/>
      <c r="K309" s="291" t="s">
        <v>775</v>
      </c>
      <c r="N309" s="446">
        <v>-1.4500000000000001E-2</v>
      </c>
      <c r="O309" s="446">
        <v>0.97499999999999998</v>
      </c>
      <c r="Q309" s="448" t="e">
        <f>IF(AND(R306&gt;1,R306&lt;1.25),INDEX(D312:D317,MATCH(S293,A312:A317,0)),0)</f>
        <v>#VALUE!</v>
      </c>
      <c r="R309" s="448" t="e">
        <f>IF(AND(R306&gt;1,R306&lt;1.25),INDEX(E312:E317,MATCH(S293,A312:A317,0)),0)</f>
        <v>#VALUE!</v>
      </c>
      <c r="S309" s="448" t="e">
        <f>Q309+($R$306-1)*(R309-Q309)/0.25</f>
        <v>#VALUE!</v>
      </c>
    </row>
    <row r="310" spans="1:21">
      <c r="D310" s="445">
        <v>1</v>
      </c>
      <c r="E310" s="445">
        <v>1.25</v>
      </c>
      <c r="F310" s="445">
        <v>1.5</v>
      </c>
      <c r="G310" s="445">
        <v>2</v>
      </c>
      <c r="H310" s="445">
        <v>4</v>
      </c>
      <c r="I310" s="445">
        <v>5</v>
      </c>
      <c r="J310" s="360"/>
      <c r="K310" s="291" t="s">
        <v>776</v>
      </c>
      <c r="N310" s="446">
        <v>-1.4500000000000001E-2</v>
      </c>
      <c r="O310" s="446">
        <v>0.97499999999999998</v>
      </c>
      <c r="Q310" s="448" t="e">
        <f>IF(AND(OR(R306&gt;1.25,R306=1.25),R306&lt;1.5),INDEX(E312:E317,MATCH(S293,A312:A317,0)),0)</f>
        <v>#VALUE!</v>
      </c>
      <c r="R310" s="448" t="e">
        <f>IF(AND(OR(R306&gt;1.25,R306=1.25),R306&lt;1.5),INDEX(F312:F317,MATCH(S293,A312:A317,0)),0)</f>
        <v>#VALUE!</v>
      </c>
      <c r="S310" s="448" t="e">
        <f>Q310+($R$306-1.25)*(R310-Q310)/0.25</f>
        <v>#VALUE!</v>
      </c>
      <c r="T310" s="360" t="s">
        <v>816</v>
      </c>
      <c r="U310" s="451" t="e">
        <f>SUM(S308:S313)</f>
        <v>#VALUE!</v>
      </c>
    </row>
    <row r="311" spans="1:21">
      <c r="A311" s="357" t="s">
        <v>805</v>
      </c>
      <c r="D311" s="429">
        <v>1</v>
      </c>
      <c r="E311" s="429">
        <v>1.25</v>
      </c>
      <c r="F311" s="429">
        <v>1.5</v>
      </c>
      <c r="G311" s="429">
        <v>2</v>
      </c>
      <c r="H311" s="429">
        <v>4</v>
      </c>
      <c r="I311" s="429">
        <v>5</v>
      </c>
      <c r="J311" s="360"/>
      <c r="K311" s="291" t="s">
        <v>777</v>
      </c>
      <c r="N311" s="446">
        <v>-1.7000000000000001E-2</v>
      </c>
      <c r="O311" s="446">
        <v>0.99</v>
      </c>
      <c r="Q311" s="448" t="e">
        <f>IF(AND(OR(R306&gt;1.5,R306=1.5),R306&lt;2),INDEX(F312:F317,MATCH(S293,A312:A317,0)),0)</f>
        <v>#VALUE!</v>
      </c>
      <c r="R311" s="448" t="e">
        <f>IF(AND(OR(R306&gt;1.5,R306=1.5),R306&lt;2),INDEX(G312:G317,MATCH(S293,A312:A317,0)),0)</f>
        <v>#VALUE!</v>
      </c>
      <c r="S311" s="448" t="e">
        <f>Q311+($R$306-1.5)*(R311-Q311)/0.5</f>
        <v>#VALUE!</v>
      </c>
    </row>
    <row r="312" spans="1:21">
      <c r="A312" s="291" t="s">
        <v>775</v>
      </c>
      <c r="D312" s="384">
        <v>1</v>
      </c>
      <c r="E312" s="384">
        <v>0.97</v>
      </c>
      <c r="F312" s="384">
        <v>0.94</v>
      </c>
      <c r="G312" s="384">
        <v>0.91</v>
      </c>
      <c r="H312" s="384">
        <v>0.77</v>
      </c>
      <c r="I312" s="384">
        <v>0.72</v>
      </c>
      <c r="J312" s="360" t="s">
        <v>808</v>
      </c>
      <c r="K312" s="291" t="s">
        <v>778</v>
      </c>
      <c r="N312" s="446">
        <v>-1.4999999999999999E-2</v>
      </c>
      <c r="O312" s="446">
        <v>1</v>
      </c>
      <c r="Q312" s="448" t="e">
        <f>IF(AND(OR(R306&gt;2,R306=2),R306&lt;4),INDEX(G312:G317,MATCH(S293,A312:A317,0)),0)</f>
        <v>#VALUE!</v>
      </c>
      <c r="R312" s="448" t="e">
        <f>IF(AND(OR(R306&gt;2,R306=2),R306&lt;4),INDEX(H312:H317,MATCH(S293,A312:A317,0)),0)</f>
        <v>#VALUE!</v>
      </c>
      <c r="S312" s="448" t="e">
        <f>Q312+($R$306-2)*(R312-Q312)/2</f>
        <v>#VALUE!</v>
      </c>
    </row>
    <row r="313" spans="1:21">
      <c r="A313" s="291" t="s">
        <v>776</v>
      </c>
      <c r="D313" s="384">
        <v>1</v>
      </c>
      <c r="E313" s="384">
        <v>0.97</v>
      </c>
      <c r="F313" s="384">
        <v>0.94</v>
      </c>
      <c r="G313" s="384">
        <v>0.91</v>
      </c>
      <c r="H313" s="384">
        <v>0.77</v>
      </c>
      <c r="I313" s="384">
        <v>0.72</v>
      </c>
      <c r="J313" s="360"/>
      <c r="K313" s="291" t="s">
        <v>779</v>
      </c>
      <c r="N313" s="446">
        <v>-1.4500000000000001E-2</v>
      </c>
      <c r="O313" s="446">
        <v>0.97499999999999998</v>
      </c>
      <c r="Q313" s="448" t="e">
        <f>IF(AND(OR(R306&gt;4,R306=4),R306&lt;5),INDEX(H312:H317,MATCH(S293,A312:A317,0)),0)</f>
        <v>#VALUE!</v>
      </c>
      <c r="R313" s="448" t="e">
        <f>IF(AND(OR(R306&gt;4,R306=4),R306&lt;5),INDEX(I312:I317,MATCH(S293,A312:A317,0)),0)</f>
        <v>#VALUE!</v>
      </c>
      <c r="S313" s="448" t="e">
        <f>Q313+($R$306-4)*(R313-Q313)/1</f>
        <v>#VALUE!</v>
      </c>
    </row>
    <row r="314" spans="1:21">
      <c r="A314" s="291" t="s">
        <v>777</v>
      </c>
      <c r="D314" s="384">
        <v>1</v>
      </c>
      <c r="E314" s="384">
        <v>0.98499999999999999</v>
      </c>
      <c r="F314" s="384">
        <v>0.97</v>
      </c>
      <c r="G314" s="384">
        <v>0.94</v>
      </c>
      <c r="H314" s="384">
        <v>0.84</v>
      </c>
      <c r="I314" s="384">
        <v>0.8</v>
      </c>
      <c r="J314" s="360"/>
      <c r="K314" s="291" t="s">
        <v>780</v>
      </c>
      <c r="N314" s="446">
        <v>-1.4500000000000001E-2</v>
      </c>
      <c r="O314" s="446">
        <v>0.97499999999999998</v>
      </c>
    </row>
    <row r="315" spans="1:21">
      <c r="A315" s="291" t="s">
        <v>778</v>
      </c>
      <c r="D315" s="384">
        <v>1</v>
      </c>
      <c r="E315" s="384">
        <v>0.98799999999999999</v>
      </c>
      <c r="F315" s="384">
        <v>0.97499999999999998</v>
      </c>
      <c r="G315" s="384">
        <v>0.95</v>
      </c>
      <c r="H315" s="384">
        <v>0.85</v>
      </c>
      <c r="I315" s="384">
        <v>0.82</v>
      </c>
      <c r="J315" s="360"/>
      <c r="N315" s="446"/>
      <c r="O315" s="446"/>
      <c r="Q315" s="357" t="s">
        <v>817</v>
      </c>
    </row>
    <row r="316" spans="1:21">
      <c r="A316" s="291" t="s">
        <v>779</v>
      </c>
      <c r="D316" s="384">
        <v>1</v>
      </c>
      <c r="E316" s="384">
        <v>0.97</v>
      </c>
      <c r="F316" s="384">
        <v>0.94</v>
      </c>
      <c r="G316" s="384">
        <v>0.9</v>
      </c>
      <c r="H316" s="384">
        <v>0.76</v>
      </c>
      <c r="I316" s="384">
        <v>0.7</v>
      </c>
      <c r="J316" s="360"/>
      <c r="K316" s="291" t="s">
        <v>775</v>
      </c>
      <c r="N316" s="446">
        <v>-2.5999999999999999E-2</v>
      </c>
      <c r="O316" s="446">
        <v>0.95</v>
      </c>
      <c r="Q316" s="360" t="s">
        <v>681</v>
      </c>
      <c r="R316" s="449" t="e">
        <f>IF(S295=L295,INDEX(N302:N307,MATCH(S293,K302:K307,0)),IF(S295=L296,INDEX(N309:N314,MATCH(S293,K309:K314,0)),INDEX(N316:N321,MATCH(S293,K316:K321,0))))</f>
        <v>#N/A</v>
      </c>
    </row>
    <row r="317" spans="1:21">
      <c r="A317" s="291" t="s">
        <v>780</v>
      </c>
      <c r="D317" s="384">
        <v>1</v>
      </c>
      <c r="E317" s="384">
        <v>0.97499999999999998</v>
      </c>
      <c r="F317" s="384">
        <v>0.95499999999999996</v>
      </c>
      <c r="G317" s="384">
        <v>0.91</v>
      </c>
      <c r="H317" s="384">
        <v>0.78</v>
      </c>
      <c r="I317" s="384">
        <v>0.74</v>
      </c>
      <c r="J317" s="360"/>
      <c r="K317" s="291" t="s">
        <v>776</v>
      </c>
      <c r="N317" s="446">
        <v>-2.5999999999999999E-2</v>
      </c>
      <c r="O317" s="446">
        <v>0.95</v>
      </c>
      <c r="Q317" s="360" t="s">
        <v>809</v>
      </c>
      <c r="R317" s="449" t="e">
        <f>IF(S295=L295,INDEX(O302:O307,MATCH(S293,K302:K307,0)),IF(S295=L296,INDEX(O309:O314,MATCH(S293,K309:K314,0)),INDEX(O316:O321,MATCH(S293,K316:K321,0))))</f>
        <v>#N/A</v>
      </c>
      <c r="S317" s="360" t="s">
        <v>819</v>
      </c>
      <c r="T317" s="449" t="e">
        <f>R316*R318+R317</f>
        <v>#N/A</v>
      </c>
    </row>
    <row r="318" spans="1:21">
      <c r="J318" s="360"/>
      <c r="K318" s="291" t="s">
        <v>777</v>
      </c>
      <c r="N318" s="446">
        <v>-2.7E-2</v>
      </c>
      <c r="O318" s="446">
        <v>0.99</v>
      </c>
      <c r="Q318" s="360" t="s">
        <v>818</v>
      </c>
      <c r="R318" s="449" t="e">
        <f>R306</f>
        <v>#VALUE!</v>
      </c>
    </row>
    <row r="319" spans="1:21">
      <c r="J319" s="360" t="s">
        <v>807</v>
      </c>
      <c r="K319" s="291" t="s">
        <v>778</v>
      </c>
      <c r="N319" s="446">
        <v>-3.4000000000000002E-2</v>
      </c>
      <c r="O319" s="446">
        <v>1</v>
      </c>
    </row>
    <row r="320" spans="1:21">
      <c r="K320" s="291" t="s">
        <v>779</v>
      </c>
      <c r="N320" s="446">
        <v>-2.5999999999999999E-2</v>
      </c>
      <c r="O320" s="446">
        <v>0.95</v>
      </c>
    </row>
    <row r="321" spans="11:15">
      <c r="K321" s="291" t="s">
        <v>780</v>
      </c>
      <c r="N321" s="446">
        <v>-2.5999999999999999E-2</v>
      </c>
      <c r="O321" s="446">
        <v>0.95</v>
      </c>
    </row>
  </sheetData>
  <mergeCells count="53">
    <mergeCell ref="B20:F20"/>
    <mergeCell ref="B26:F26"/>
    <mergeCell ref="H20:L20"/>
    <mergeCell ref="H26:L26"/>
    <mergeCell ref="K142:M142"/>
    <mergeCell ref="H48:I48"/>
    <mergeCell ref="G121:L121"/>
    <mergeCell ref="G128:L128"/>
    <mergeCell ref="G107:L107"/>
    <mergeCell ref="G114:L114"/>
    <mergeCell ref="B17:B19"/>
    <mergeCell ref="B16:F16"/>
    <mergeCell ref="H16:L16"/>
    <mergeCell ref="G17:G19"/>
    <mergeCell ref="H17:H19"/>
    <mergeCell ref="A264:G264"/>
    <mergeCell ref="I264:O264"/>
    <mergeCell ref="Q264:W264"/>
    <mergeCell ref="R37:U37"/>
    <mergeCell ref="Q145:Q146"/>
    <mergeCell ref="Q147:Q148"/>
    <mergeCell ref="R42:T42"/>
    <mergeCell ref="R43:T43"/>
    <mergeCell ref="N27:O27"/>
    <mergeCell ref="P27:Q27"/>
    <mergeCell ref="D204:F204"/>
    <mergeCell ref="G204:I204"/>
    <mergeCell ref="J204:L204"/>
    <mergeCell ref="I170:J170"/>
    <mergeCell ref="K170:L170"/>
    <mergeCell ref="I171:J171"/>
    <mergeCell ref="D189:F189"/>
    <mergeCell ref="G189:I189"/>
    <mergeCell ref="J189:L189"/>
    <mergeCell ref="L48:M48"/>
    <mergeCell ref="G137:L137"/>
    <mergeCell ref="G100:L100"/>
    <mergeCell ref="G98:I98"/>
    <mergeCell ref="J98:L98"/>
    <mergeCell ref="O297:R297"/>
    <mergeCell ref="S297:U297"/>
    <mergeCell ref="O296:P296"/>
    <mergeCell ref="S291:U291"/>
    <mergeCell ref="S292:U292"/>
    <mergeCell ref="S293:U293"/>
    <mergeCell ref="S294:U294"/>
    <mergeCell ref="S295:U295"/>
    <mergeCell ref="S296:U296"/>
    <mergeCell ref="O291:Q291"/>
    <mergeCell ref="O292:R292"/>
    <mergeCell ref="O293:R293"/>
    <mergeCell ref="O294:R294"/>
    <mergeCell ref="O295:R29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B1:AR141"/>
  <sheetViews>
    <sheetView zoomScaleNormal="100" workbookViewId="0"/>
  </sheetViews>
  <sheetFormatPr defaultColWidth="8.88671875" defaultRowHeight="13.8"/>
  <cols>
    <col min="1" max="16384" width="8.88671875" style="1"/>
  </cols>
  <sheetData>
    <row r="1" spans="2:44">
      <c r="U1" s="2"/>
    </row>
    <row r="2" spans="2:44">
      <c r="U2" s="2"/>
    </row>
    <row r="3" spans="2:44">
      <c r="B3" s="3" t="s">
        <v>88</v>
      </c>
      <c r="U3" s="2"/>
      <c r="V3" s="3" t="s">
        <v>89</v>
      </c>
    </row>
    <row r="4" spans="2:44">
      <c r="B4" s="1" t="s">
        <v>31</v>
      </c>
      <c r="C4" s="1" t="s">
        <v>32</v>
      </c>
      <c r="D4" s="979" t="s">
        <v>33</v>
      </c>
      <c r="E4" s="979"/>
      <c r="F4" s="979"/>
      <c r="G4" s="979"/>
      <c r="H4" s="979"/>
      <c r="I4" s="979"/>
      <c r="J4" s="979"/>
      <c r="K4" s="979"/>
      <c r="L4" s="4"/>
      <c r="M4" s="4"/>
      <c r="N4" s="4"/>
      <c r="O4" s="4"/>
      <c r="P4" s="4"/>
      <c r="Q4" s="4"/>
      <c r="R4" s="4"/>
      <c r="S4" s="4"/>
      <c r="T4" s="4"/>
      <c r="U4" s="2"/>
      <c r="V4" s="1" t="s">
        <v>31</v>
      </c>
      <c r="W4" s="1" t="s">
        <v>32</v>
      </c>
      <c r="X4" s="979" t="s">
        <v>33</v>
      </c>
      <c r="Y4" s="979"/>
      <c r="Z4" s="979"/>
      <c r="AA4" s="979"/>
      <c r="AB4" s="979"/>
      <c r="AC4" s="979"/>
      <c r="AD4" s="979"/>
      <c r="AE4" s="979"/>
    </row>
    <row r="5" spans="2:44">
      <c r="D5" s="4">
        <v>180</v>
      </c>
      <c r="E5" s="4">
        <v>135</v>
      </c>
      <c r="F5" s="4">
        <v>225</v>
      </c>
      <c r="G5" s="4">
        <v>90</v>
      </c>
      <c r="H5" s="4">
        <v>270</v>
      </c>
      <c r="I5" s="4">
        <v>45</v>
      </c>
      <c r="J5" s="4">
        <v>315</v>
      </c>
      <c r="K5" s="5">
        <v>0</v>
      </c>
      <c r="L5" s="6">
        <v>360</v>
      </c>
      <c r="M5" s="6">
        <f>0.5*(K5+I5)</f>
        <v>22.5</v>
      </c>
      <c r="N5" s="6">
        <f>0.5*(I5+G5)</f>
        <v>67.5</v>
      </c>
      <c r="O5" s="6">
        <f>0.5*(G5+E5)</f>
        <v>112.5</v>
      </c>
      <c r="P5" s="6">
        <f>0.5*(E5+D5)</f>
        <v>157.5</v>
      </c>
      <c r="Q5" s="6">
        <f>0.5*(D5+F5)</f>
        <v>202.5</v>
      </c>
      <c r="R5" s="6">
        <f>0.5*(F5+H5)</f>
        <v>247.5</v>
      </c>
      <c r="S5" s="6">
        <f>0.5*(H5+J5)</f>
        <v>292.5</v>
      </c>
      <c r="T5" s="6">
        <f>0.5*(J5+L5)</f>
        <v>337.5</v>
      </c>
      <c r="U5" s="2"/>
      <c r="X5" s="4">
        <v>180</v>
      </c>
      <c r="Y5" s="4">
        <v>135</v>
      </c>
      <c r="Z5" s="4">
        <v>225</v>
      </c>
      <c r="AA5" s="4">
        <v>90</v>
      </c>
      <c r="AB5" s="4">
        <v>270</v>
      </c>
      <c r="AC5" s="4">
        <v>45</v>
      </c>
      <c r="AD5" s="4">
        <v>315</v>
      </c>
      <c r="AE5" s="5">
        <v>0</v>
      </c>
      <c r="AF5" s="6">
        <v>360</v>
      </c>
      <c r="AG5" s="6">
        <f>0.5*(AE5+AC5)</f>
        <v>22.5</v>
      </c>
      <c r="AH5" s="6">
        <f>0.5*(AC5+AA5)</f>
        <v>67.5</v>
      </c>
      <c r="AI5" s="6">
        <f>0.5*(AA5+Y5)</f>
        <v>112.5</v>
      </c>
      <c r="AJ5" s="6">
        <f>0.5*(Y5+X5)</f>
        <v>157.5</v>
      </c>
      <c r="AK5" s="6">
        <f>0.5*(X5+Z5)</f>
        <v>202.5</v>
      </c>
      <c r="AL5" s="6">
        <f>0.5*(Z5+AB5)</f>
        <v>247.5</v>
      </c>
      <c r="AM5" s="6">
        <f>0.5*(AB5+AD5)</f>
        <v>292.5</v>
      </c>
      <c r="AN5" s="6">
        <f>0.5*(AD5+AF5)</f>
        <v>337.5</v>
      </c>
    </row>
    <row r="6" spans="2:44">
      <c r="B6" s="7">
        <v>0</v>
      </c>
      <c r="C6" s="8" t="s">
        <v>34</v>
      </c>
      <c r="D6" s="9">
        <v>1</v>
      </c>
      <c r="E6" s="9">
        <v>1</v>
      </c>
      <c r="F6" s="9">
        <v>1</v>
      </c>
      <c r="G6" s="9">
        <v>1</v>
      </c>
      <c r="H6" s="9">
        <v>1</v>
      </c>
      <c r="I6" s="9">
        <v>1</v>
      </c>
      <c r="J6" s="9">
        <v>1</v>
      </c>
      <c r="K6" s="9">
        <v>1</v>
      </c>
      <c r="L6" s="9">
        <f>K6</f>
        <v>1</v>
      </c>
      <c r="M6" s="9">
        <f>0.5*(K6+I6)</f>
        <v>1</v>
      </c>
      <c r="N6" s="9">
        <f>0.5*(I6+G6)</f>
        <v>1</v>
      </c>
      <c r="O6" s="9">
        <f>0.5*(G6+E6)</f>
        <v>1</v>
      </c>
      <c r="P6" s="9">
        <f>0.5*(E6+D6)</f>
        <v>1</v>
      </c>
      <c r="Q6" s="9">
        <f>0.5*(D6+F6)</f>
        <v>1</v>
      </c>
      <c r="R6" s="9">
        <f>0.5*(F6+H6)</f>
        <v>1</v>
      </c>
      <c r="S6" s="9">
        <f>0.5*(H6+J6)</f>
        <v>1</v>
      </c>
      <c r="T6" s="10">
        <f>0.5*(J6+L6)</f>
        <v>1</v>
      </c>
      <c r="U6" s="2"/>
      <c r="V6" s="11">
        <v>0</v>
      </c>
      <c r="W6" s="8" t="s">
        <v>36</v>
      </c>
      <c r="X6" s="9">
        <v>1</v>
      </c>
      <c r="Y6" s="9">
        <v>1</v>
      </c>
      <c r="Z6" s="9">
        <v>1</v>
      </c>
      <c r="AA6" s="9">
        <v>1</v>
      </c>
      <c r="AB6" s="9">
        <v>1</v>
      </c>
      <c r="AC6" s="9">
        <v>1</v>
      </c>
      <c r="AD6" s="9">
        <v>1</v>
      </c>
      <c r="AE6" s="9">
        <v>1</v>
      </c>
      <c r="AF6" s="9">
        <f>AE6</f>
        <v>1</v>
      </c>
      <c r="AG6" s="9">
        <f>0.5*(AE6+AC6)</f>
        <v>1</v>
      </c>
      <c r="AH6" s="9">
        <f>0.5*(AC6+AA6)</f>
        <v>1</v>
      </c>
      <c r="AI6" s="9">
        <f>0.5*(AA6+Y6)</f>
        <v>1</v>
      </c>
      <c r="AJ6" s="9">
        <f>0.5*(Y6+X6)</f>
        <v>1</v>
      </c>
      <c r="AK6" s="9">
        <f>0.5*(X6+Z6)</f>
        <v>1</v>
      </c>
      <c r="AL6" s="9">
        <f>0.5*(Z6+AB6)</f>
        <v>1</v>
      </c>
      <c r="AM6" s="9">
        <f>0.5*(AB6+AD6)</f>
        <v>1</v>
      </c>
      <c r="AN6" s="9">
        <f>0.5*(AD6+AF6)</f>
        <v>1</v>
      </c>
      <c r="AQ6" s="171">
        <v>0</v>
      </c>
      <c r="AR6" s="171" t="s">
        <v>375</v>
      </c>
    </row>
    <row r="7" spans="2:44">
      <c r="B7" s="7">
        <f>0.5*(B6+B8)</f>
        <v>2.5</v>
      </c>
      <c r="C7" s="7"/>
      <c r="D7" s="12">
        <f t="shared" ref="D7:AN7" si="0">0.5*(D6+D8)</f>
        <v>0.99</v>
      </c>
      <c r="E7" s="12">
        <f t="shared" si="0"/>
        <v>0.98499999999999999</v>
      </c>
      <c r="F7" s="12">
        <f t="shared" si="0"/>
        <v>0.98499999999999999</v>
      </c>
      <c r="G7" s="12">
        <f t="shared" si="0"/>
        <v>0.98</v>
      </c>
      <c r="H7" s="12">
        <f t="shared" si="0"/>
        <v>0.98</v>
      </c>
      <c r="I7" s="12">
        <f t="shared" si="0"/>
        <v>0.99</v>
      </c>
      <c r="J7" s="12">
        <f t="shared" si="0"/>
        <v>0.99</v>
      </c>
      <c r="K7" s="12">
        <f t="shared" si="0"/>
        <v>1</v>
      </c>
      <c r="L7" s="12">
        <f t="shared" si="0"/>
        <v>1</v>
      </c>
      <c r="M7" s="12">
        <f t="shared" si="0"/>
        <v>0.995</v>
      </c>
      <c r="N7" s="12">
        <f t="shared" si="0"/>
        <v>0.98499999999999999</v>
      </c>
      <c r="O7" s="12">
        <f t="shared" si="0"/>
        <v>0.98249999999999993</v>
      </c>
      <c r="P7" s="12">
        <f t="shared" si="0"/>
        <v>0.98750000000000004</v>
      </c>
      <c r="Q7" s="12">
        <f t="shared" si="0"/>
        <v>0.98750000000000004</v>
      </c>
      <c r="R7" s="12">
        <f t="shared" si="0"/>
        <v>0.98249999999999993</v>
      </c>
      <c r="S7" s="12">
        <f t="shared" si="0"/>
        <v>0.98499999999999999</v>
      </c>
      <c r="T7" s="13">
        <f t="shared" si="0"/>
        <v>0.995</v>
      </c>
      <c r="U7" s="14"/>
      <c r="V7" s="11">
        <f t="shared" si="0"/>
        <v>2.5</v>
      </c>
      <c r="W7" s="7"/>
      <c r="X7" s="12">
        <f t="shared" si="0"/>
        <v>1</v>
      </c>
      <c r="Y7" s="12">
        <f t="shared" si="0"/>
        <v>0.99</v>
      </c>
      <c r="Z7" s="12">
        <f t="shared" si="0"/>
        <v>0.99</v>
      </c>
      <c r="AA7" s="12">
        <f t="shared" si="0"/>
        <v>0.98499999999999999</v>
      </c>
      <c r="AB7" s="12">
        <f t="shared" si="0"/>
        <v>0.98499999999999999</v>
      </c>
      <c r="AC7" s="12">
        <f t="shared" si="0"/>
        <v>0.98</v>
      </c>
      <c r="AD7" s="12">
        <f t="shared" si="0"/>
        <v>0.98</v>
      </c>
      <c r="AE7" s="12">
        <f t="shared" si="0"/>
        <v>0.98</v>
      </c>
      <c r="AF7" s="12">
        <f t="shared" si="0"/>
        <v>0.98</v>
      </c>
      <c r="AG7" s="12">
        <f t="shared" si="0"/>
        <v>0.98</v>
      </c>
      <c r="AH7" s="12">
        <f t="shared" si="0"/>
        <v>0.98249999999999993</v>
      </c>
      <c r="AI7" s="12">
        <f t="shared" si="0"/>
        <v>0.98750000000000004</v>
      </c>
      <c r="AJ7" s="12">
        <f t="shared" si="0"/>
        <v>0.995</v>
      </c>
      <c r="AK7" s="12">
        <f t="shared" si="0"/>
        <v>0.995</v>
      </c>
      <c r="AL7" s="12">
        <f t="shared" si="0"/>
        <v>0.98750000000000004</v>
      </c>
      <c r="AM7" s="12">
        <f t="shared" si="0"/>
        <v>0.98249999999999993</v>
      </c>
      <c r="AN7" s="12">
        <f t="shared" si="0"/>
        <v>0.98</v>
      </c>
      <c r="AQ7" s="171">
        <v>22.5</v>
      </c>
      <c r="AR7" s="171" t="s">
        <v>416</v>
      </c>
    </row>
    <row r="8" spans="2:44">
      <c r="B8" s="7">
        <v>5</v>
      </c>
      <c r="C8" s="8" t="s">
        <v>34</v>
      </c>
      <c r="D8" s="9" t="s">
        <v>37</v>
      </c>
      <c r="E8" s="9" t="s">
        <v>38</v>
      </c>
      <c r="F8" s="9" t="s">
        <v>38</v>
      </c>
      <c r="G8" s="9" t="s">
        <v>39</v>
      </c>
      <c r="H8" s="9" t="s">
        <v>39</v>
      </c>
      <c r="I8" s="9" t="s">
        <v>37</v>
      </c>
      <c r="J8" s="9" t="s">
        <v>37</v>
      </c>
      <c r="K8" s="9" t="s">
        <v>35</v>
      </c>
      <c r="L8" s="9" t="str">
        <f t="shared" ref="L8:L42" si="1">K8</f>
        <v>1,00</v>
      </c>
      <c r="M8" s="9">
        <f t="shared" ref="M8:M42" si="2">0.5*(K8+I8)</f>
        <v>0.99</v>
      </c>
      <c r="N8" s="9">
        <f t="shared" ref="N8:N42" si="3">0.5*(I8+G8)</f>
        <v>0.97</v>
      </c>
      <c r="O8" s="9">
        <f t="shared" ref="O8:O42" si="4">0.5*(G8+E8)</f>
        <v>0.96499999999999997</v>
      </c>
      <c r="P8" s="9">
        <f t="shared" ref="P8:P42" si="5">0.5*(E8+D8)</f>
        <v>0.97499999999999998</v>
      </c>
      <c r="Q8" s="9">
        <f t="shared" ref="Q8:Q42" si="6">0.5*(D8+F8)</f>
        <v>0.97499999999999998</v>
      </c>
      <c r="R8" s="9">
        <f t="shared" ref="R8:R42" si="7">0.5*(F8+H8)</f>
        <v>0.96499999999999997</v>
      </c>
      <c r="S8" s="9">
        <f t="shared" ref="S8:S42" si="8">0.5*(H8+J8)</f>
        <v>0.97</v>
      </c>
      <c r="T8" s="10">
        <f t="shared" ref="T8:T42" si="9">0.5*(J8+L8)</f>
        <v>0.99</v>
      </c>
      <c r="U8" s="2"/>
      <c r="V8" s="11">
        <v>5</v>
      </c>
      <c r="W8" s="8" t="s">
        <v>36</v>
      </c>
      <c r="X8" s="9" t="s">
        <v>35</v>
      </c>
      <c r="Y8" s="9" t="s">
        <v>37</v>
      </c>
      <c r="Z8" s="9" t="s">
        <v>37</v>
      </c>
      <c r="AA8" s="9" t="s">
        <v>38</v>
      </c>
      <c r="AB8" s="9" t="s">
        <v>38</v>
      </c>
      <c r="AC8" s="9" t="s">
        <v>39</v>
      </c>
      <c r="AD8" s="9" t="s">
        <v>39</v>
      </c>
      <c r="AE8" s="9" t="s">
        <v>39</v>
      </c>
      <c r="AF8" s="9" t="str">
        <f t="shared" ref="AF8:AF42" si="10">AE8</f>
        <v>0,96</v>
      </c>
      <c r="AG8" s="9">
        <f t="shared" ref="AG8:AG42" si="11">0.5*(AE8+AC8)</f>
        <v>0.96</v>
      </c>
      <c r="AH8" s="9">
        <f t="shared" ref="AH8:AH42" si="12">0.5*(AC8+AA8)</f>
        <v>0.96499999999999997</v>
      </c>
      <c r="AI8" s="9">
        <f t="shared" ref="AI8:AI42" si="13">0.5*(AA8+Y8)</f>
        <v>0.97499999999999998</v>
      </c>
      <c r="AJ8" s="9">
        <f t="shared" ref="AJ8:AJ42" si="14">0.5*(Y8+X8)</f>
        <v>0.99</v>
      </c>
      <c r="AK8" s="9">
        <f t="shared" ref="AK8:AK42" si="15">0.5*(X8+Z8)</f>
        <v>0.99</v>
      </c>
      <c r="AL8" s="9">
        <f t="shared" ref="AL8:AL42" si="16">0.5*(Z8+AB8)</f>
        <v>0.97499999999999998</v>
      </c>
      <c r="AM8" s="9">
        <f t="shared" ref="AM8:AM42" si="17">0.5*(AB8+AD8)</f>
        <v>0.96499999999999997</v>
      </c>
      <c r="AN8" s="9">
        <f t="shared" ref="AN8:AN42" si="18">0.5*(AD8+AF8)</f>
        <v>0.96</v>
      </c>
      <c r="AQ8" s="171">
        <v>45</v>
      </c>
      <c r="AR8" s="171" t="s">
        <v>379</v>
      </c>
    </row>
    <row r="9" spans="2:44">
      <c r="B9" s="7">
        <f>0.5*(B8+B10)</f>
        <v>7.5</v>
      </c>
      <c r="C9" s="7"/>
      <c r="D9" s="12">
        <f t="shared" ref="D9:AN9" si="19">0.5*(D8+D10)</f>
        <v>0.97</v>
      </c>
      <c r="E9" s="12">
        <f t="shared" si="19"/>
        <v>0.96</v>
      </c>
      <c r="F9" s="12">
        <f t="shared" si="19"/>
        <v>0.96</v>
      </c>
      <c r="G9" s="12">
        <f t="shared" si="19"/>
        <v>0.94500000000000006</v>
      </c>
      <c r="H9" s="12">
        <f t="shared" si="19"/>
        <v>0.94500000000000006</v>
      </c>
      <c r="I9" s="12">
        <f t="shared" si="19"/>
        <v>0.96499999999999997</v>
      </c>
      <c r="J9" s="12">
        <f t="shared" si="19"/>
        <v>0.96499999999999997</v>
      </c>
      <c r="K9" s="12">
        <f t="shared" si="19"/>
        <v>1</v>
      </c>
      <c r="L9" s="12">
        <f t="shared" si="19"/>
        <v>1</v>
      </c>
      <c r="M9" s="12">
        <f t="shared" si="19"/>
        <v>0.98249999999999993</v>
      </c>
      <c r="N9" s="12">
        <f t="shared" si="19"/>
        <v>0.95499999999999996</v>
      </c>
      <c r="O9" s="12">
        <f t="shared" si="19"/>
        <v>0.9524999999999999</v>
      </c>
      <c r="P9" s="12">
        <f t="shared" si="19"/>
        <v>0.96499999999999997</v>
      </c>
      <c r="Q9" s="12">
        <f t="shared" si="19"/>
        <v>0.96499999999999997</v>
      </c>
      <c r="R9" s="12">
        <f t="shared" si="19"/>
        <v>0.9524999999999999</v>
      </c>
      <c r="S9" s="12">
        <f t="shared" si="19"/>
        <v>0.95499999999999996</v>
      </c>
      <c r="T9" s="13">
        <f t="shared" si="19"/>
        <v>0.98249999999999993</v>
      </c>
      <c r="U9" s="14"/>
      <c r="V9" s="11">
        <f t="shared" si="19"/>
        <v>7.5</v>
      </c>
      <c r="W9" s="7"/>
      <c r="X9" s="12">
        <f t="shared" si="19"/>
        <v>1</v>
      </c>
      <c r="Y9" s="12">
        <f t="shared" si="19"/>
        <v>0.97499999999999998</v>
      </c>
      <c r="Z9" s="12">
        <f t="shared" si="19"/>
        <v>0.97499999999999998</v>
      </c>
      <c r="AA9" s="12">
        <f t="shared" si="19"/>
        <v>0.95499999999999996</v>
      </c>
      <c r="AB9" s="12">
        <f t="shared" si="19"/>
        <v>0.95499999999999996</v>
      </c>
      <c r="AC9" s="12">
        <f t="shared" si="19"/>
        <v>0.94</v>
      </c>
      <c r="AD9" s="12">
        <f t="shared" si="19"/>
        <v>0.94</v>
      </c>
      <c r="AE9" s="12">
        <f t="shared" si="19"/>
        <v>0.94</v>
      </c>
      <c r="AF9" s="12">
        <f t="shared" si="19"/>
        <v>0.94</v>
      </c>
      <c r="AG9" s="12">
        <f t="shared" si="19"/>
        <v>0.94</v>
      </c>
      <c r="AH9" s="12">
        <f t="shared" si="19"/>
        <v>0.94750000000000001</v>
      </c>
      <c r="AI9" s="12">
        <f t="shared" si="19"/>
        <v>0.96499999999999997</v>
      </c>
      <c r="AJ9" s="12">
        <f t="shared" si="19"/>
        <v>0.98750000000000004</v>
      </c>
      <c r="AK9" s="12">
        <f t="shared" si="19"/>
        <v>0.98750000000000004</v>
      </c>
      <c r="AL9" s="12">
        <f t="shared" si="19"/>
        <v>0.96499999999999997</v>
      </c>
      <c r="AM9" s="12">
        <f t="shared" si="19"/>
        <v>0.94750000000000001</v>
      </c>
      <c r="AN9" s="12">
        <f t="shared" si="19"/>
        <v>0.94</v>
      </c>
      <c r="AQ9" s="171">
        <v>67.5</v>
      </c>
      <c r="AR9" s="171" t="s">
        <v>417</v>
      </c>
    </row>
    <row r="10" spans="2:44">
      <c r="B10" s="7">
        <v>10</v>
      </c>
      <c r="C10" s="8" t="s">
        <v>34</v>
      </c>
      <c r="D10" s="9" t="s">
        <v>39</v>
      </c>
      <c r="E10" s="9" t="s">
        <v>40</v>
      </c>
      <c r="F10" s="9" t="s">
        <v>40</v>
      </c>
      <c r="G10" s="9" t="s">
        <v>41</v>
      </c>
      <c r="H10" s="9" t="s">
        <v>41</v>
      </c>
      <c r="I10" s="9" t="s">
        <v>40</v>
      </c>
      <c r="J10" s="9" t="s">
        <v>40</v>
      </c>
      <c r="K10" s="9" t="s">
        <v>35</v>
      </c>
      <c r="L10" s="9" t="str">
        <f t="shared" si="1"/>
        <v>1,00</v>
      </c>
      <c r="M10" s="9">
        <f t="shared" si="2"/>
        <v>0.97499999999999998</v>
      </c>
      <c r="N10" s="9">
        <f t="shared" si="3"/>
        <v>0.94</v>
      </c>
      <c r="O10" s="9">
        <f t="shared" si="4"/>
        <v>0.94</v>
      </c>
      <c r="P10" s="9">
        <f t="shared" si="5"/>
        <v>0.95499999999999996</v>
      </c>
      <c r="Q10" s="9">
        <f>0.5*(D10+F10)</f>
        <v>0.95499999999999996</v>
      </c>
      <c r="R10" s="9">
        <f t="shared" si="7"/>
        <v>0.94</v>
      </c>
      <c r="S10" s="9">
        <f t="shared" si="8"/>
        <v>0.94</v>
      </c>
      <c r="T10" s="10">
        <f t="shared" si="9"/>
        <v>0.97499999999999998</v>
      </c>
      <c r="U10" s="2"/>
      <c r="V10" s="11">
        <v>10</v>
      </c>
      <c r="W10" s="8" t="s">
        <v>36</v>
      </c>
      <c r="X10" s="9" t="s">
        <v>35</v>
      </c>
      <c r="Y10" s="9" t="s">
        <v>38</v>
      </c>
      <c r="Z10" s="9" t="s">
        <v>38</v>
      </c>
      <c r="AA10" s="9" t="s">
        <v>42</v>
      </c>
      <c r="AB10" s="9" t="s">
        <v>42</v>
      </c>
      <c r="AC10" s="9" t="s">
        <v>43</v>
      </c>
      <c r="AD10" s="9" t="s">
        <v>43</v>
      </c>
      <c r="AE10" s="9" t="s">
        <v>43</v>
      </c>
      <c r="AF10" s="9" t="str">
        <f t="shared" si="10"/>
        <v>0,92</v>
      </c>
      <c r="AG10" s="9">
        <f t="shared" si="11"/>
        <v>0.92</v>
      </c>
      <c r="AH10" s="9">
        <f t="shared" si="12"/>
        <v>0.92999999999999994</v>
      </c>
      <c r="AI10" s="9">
        <f t="shared" si="13"/>
        <v>0.95499999999999996</v>
      </c>
      <c r="AJ10" s="9">
        <f t="shared" si="14"/>
        <v>0.98499999999999999</v>
      </c>
      <c r="AK10" s="9">
        <f t="shared" si="15"/>
        <v>0.98499999999999999</v>
      </c>
      <c r="AL10" s="9">
        <f t="shared" si="16"/>
        <v>0.95499999999999996</v>
      </c>
      <c r="AM10" s="9">
        <f t="shared" si="17"/>
        <v>0.92999999999999994</v>
      </c>
      <c r="AN10" s="9">
        <f t="shared" si="18"/>
        <v>0.92</v>
      </c>
      <c r="AQ10" s="171">
        <v>90</v>
      </c>
      <c r="AR10" s="171" t="s">
        <v>376</v>
      </c>
    </row>
    <row r="11" spans="2:44">
      <c r="B11" s="7">
        <f>0.5*(B10+B12)</f>
        <v>12.5</v>
      </c>
      <c r="C11" s="7"/>
      <c r="D11" s="12">
        <f t="shared" ref="D11:AN11" si="20">0.5*(D10+D12)</f>
        <v>0.93500000000000005</v>
      </c>
      <c r="E11" s="12">
        <f t="shared" si="20"/>
        <v>0.91999999999999993</v>
      </c>
      <c r="F11" s="12">
        <f t="shared" si="20"/>
        <v>0.91999999999999993</v>
      </c>
      <c r="G11" s="12">
        <f t="shared" si="20"/>
        <v>0.89500000000000002</v>
      </c>
      <c r="H11" s="12">
        <f t="shared" si="20"/>
        <v>0.89500000000000002</v>
      </c>
      <c r="I11" s="12">
        <f t="shared" si="20"/>
        <v>0.93500000000000005</v>
      </c>
      <c r="J11" s="12">
        <f t="shared" si="20"/>
        <v>0.93500000000000005</v>
      </c>
      <c r="K11" s="12">
        <f t="shared" si="20"/>
        <v>1</v>
      </c>
      <c r="L11" s="12">
        <f t="shared" si="20"/>
        <v>1</v>
      </c>
      <c r="M11" s="12">
        <f t="shared" si="20"/>
        <v>0.96750000000000003</v>
      </c>
      <c r="N11" s="12">
        <f t="shared" si="20"/>
        <v>0.91500000000000004</v>
      </c>
      <c r="O11" s="12">
        <f t="shared" si="20"/>
        <v>0.90749999999999997</v>
      </c>
      <c r="P11" s="12">
        <f t="shared" si="20"/>
        <v>0.92749999999999999</v>
      </c>
      <c r="Q11" s="12">
        <f t="shared" si="20"/>
        <v>0.92749999999999999</v>
      </c>
      <c r="R11" s="12">
        <f t="shared" si="20"/>
        <v>0.90749999999999997</v>
      </c>
      <c r="S11" s="12">
        <f t="shared" si="20"/>
        <v>0.91500000000000004</v>
      </c>
      <c r="T11" s="13">
        <f t="shared" si="20"/>
        <v>0.96750000000000003</v>
      </c>
      <c r="U11" s="14"/>
      <c r="V11" s="11">
        <f t="shared" si="20"/>
        <v>12.5</v>
      </c>
      <c r="W11" s="7"/>
      <c r="X11" s="12">
        <f t="shared" si="20"/>
        <v>1</v>
      </c>
      <c r="Y11" s="12">
        <f t="shared" si="20"/>
        <v>0.95499999999999996</v>
      </c>
      <c r="Z11" s="12">
        <f t="shared" si="20"/>
        <v>0.95499999999999996</v>
      </c>
      <c r="AA11" s="12">
        <f t="shared" si="20"/>
        <v>0.91999999999999993</v>
      </c>
      <c r="AB11" s="12">
        <f t="shared" si="20"/>
        <v>0.91999999999999993</v>
      </c>
      <c r="AC11" s="12">
        <f t="shared" si="20"/>
        <v>0.9</v>
      </c>
      <c r="AD11" s="12">
        <f t="shared" si="20"/>
        <v>0.9</v>
      </c>
      <c r="AE11" s="12">
        <f t="shared" si="20"/>
        <v>0.91</v>
      </c>
      <c r="AF11" s="12">
        <f t="shared" si="20"/>
        <v>0.91</v>
      </c>
      <c r="AG11" s="12">
        <f t="shared" si="20"/>
        <v>0.90500000000000003</v>
      </c>
      <c r="AH11" s="12">
        <f t="shared" si="20"/>
        <v>0.90999999999999992</v>
      </c>
      <c r="AI11" s="12">
        <f t="shared" si="20"/>
        <v>0.9375</v>
      </c>
      <c r="AJ11" s="12">
        <f t="shared" si="20"/>
        <v>0.97750000000000004</v>
      </c>
      <c r="AK11" s="12">
        <f t="shared" si="20"/>
        <v>0.97750000000000004</v>
      </c>
      <c r="AL11" s="12">
        <f t="shared" si="20"/>
        <v>0.9375</v>
      </c>
      <c r="AM11" s="12">
        <f t="shared" si="20"/>
        <v>0.90999999999999992</v>
      </c>
      <c r="AN11" s="12">
        <f t="shared" si="20"/>
        <v>0.90500000000000003</v>
      </c>
      <c r="AQ11" s="171">
        <v>112.5</v>
      </c>
      <c r="AR11" s="171" t="s">
        <v>418</v>
      </c>
    </row>
    <row r="12" spans="2:44">
      <c r="B12" s="7">
        <v>15</v>
      </c>
      <c r="C12" s="8" t="s">
        <v>34</v>
      </c>
      <c r="D12" s="9" t="s">
        <v>44</v>
      </c>
      <c r="E12" s="9" t="s">
        <v>45</v>
      </c>
      <c r="F12" s="9" t="s">
        <v>45</v>
      </c>
      <c r="G12" s="9" t="s">
        <v>46</v>
      </c>
      <c r="H12" s="9" t="s">
        <v>46</v>
      </c>
      <c r="I12" s="9" t="s">
        <v>43</v>
      </c>
      <c r="J12" s="9" t="s">
        <v>43</v>
      </c>
      <c r="K12" s="9" t="s">
        <v>35</v>
      </c>
      <c r="L12" s="9" t="str">
        <f t="shared" si="1"/>
        <v>1,00</v>
      </c>
      <c r="M12" s="9">
        <f t="shared" si="2"/>
        <v>0.96</v>
      </c>
      <c r="N12" s="9">
        <f t="shared" si="3"/>
        <v>0.89</v>
      </c>
      <c r="O12" s="9">
        <f t="shared" si="4"/>
        <v>0.875</v>
      </c>
      <c r="P12" s="9">
        <f t="shared" si="5"/>
        <v>0.9</v>
      </c>
      <c r="Q12" s="9">
        <f t="shared" si="6"/>
        <v>0.9</v>
      </c>
      <c r="R12" s="9">
        <f t="shared" si="7"/>
        <v>0.875</v>
      </c>
      <c r="S12" s="9">
        <f t="shared" si="8"/>
        <v>0.89</v>
      </c>
      <c r="T12" s="10">
        <f t="shared" si="9"/>
        <v>0.96</v>
      </c>
      <c r="U12" s="2"/>
      <c r="V12" s="11">
        <v>15</v>
      </c>
      <c r="W12" s="8" t="s">
        <v>36</v>
      </c>
      <c r="X12" s="9" t="s">
        <v>35</v>
      </c>
      <c r="Y12" s="9" t="s">
        <v>42</v>
      </c>
      <c r="Z12" s="9" t="s">
        <v>42</v>
      </c>
      <c r="AA12" s="9" t="s">
        <v>47</v>
      </c>
      <c r="AB12" s="9" t="s">
        <v>47</v>
      </c>
      <c r="AC12" s="9" t="s">
        <v>48</v>
      </c>
      <c r="AD12" s="9" t="s">
        <v>48</v>
      </c>
      <c r="AE12" s="9" t="s">
        <v>47</v>
      </c>
      <c r="AF12" s="9" t="str">
        <f t="shared" si="10"/>
        <v>0,90</v>
      </c>
      <c r="AG12" s="9">
        <f t="shared" si="11"/>
        <v>0.89</v>
      </c>
      <c r="AH12" s="9">
        <f t="shared" si="12"/>
        <v>0.89</v>
      </c>
      <c r="AI12" s="9">
        <f t="shared" si="13"/>
        <v>0.91999999999999993</v>
      </c>
      <c r="AJ12" s="9">
        <f t="shared" si="14"/>
        <v>0.97</v>
      </c>
      <c r="AK12" s="9">
        <f t="shared" si="15"/>
        <v>0.97</v>
      </c>
      <c r="AL12" s="9">
        <f t="shared" si="16"/>
        <v>0.91999999999999993</v>
      </c>
      <c r="AM12" s="9">
        <f t="shared" si="17"/>
        <v>0.89</v>
      </c>
      <c r="AN12" s="9">
        <f t="shared" si="18"/>
        <v>0.89</v>
      </c>
      <c r="AQ12" s="171">
        <v>135</v>
      </c>
      <c r="AR12" s="171" t="s">
        <v>380</v>
      </c>
    </row>
    <row r="13" spans="2:44">
      <c r="B13" s="7">
        <f>0.5*(B12+B14)</f>
        <v>17.5</v>
      </c>
      <c r="C13" s="7"/>
      <c r="D13" s="12">
        <f t="shared" ref="D13:AN13" si="21">0.5*(D12+D14)</f>
        <v>0.88500000000000001</v>
      </c>
      <c r="E13" s="12">
        <f t="shared" si="21"/>
        <v>0.86499999999999999</v>
      </c>
      <c r="F13" s="12">
        <f t="shared" si="21"/>
        <v>0.86499999999999999</v>
      </c>
      <c r="G13" s="12">
        <f t="shared" si="21"/>
        <v>0.83000000000000007</v>
      </c>
      <c r="H13" s="12">
        <f t="shared" si="21"/>
        <v>0.83000000000000007</v>
      </c>
      <c r="I13" s="12">
        <f t="shared" si="21"/>
        <v>0.90500000000000003</v>
      </c>
      <c r="J13" s="12">
        <f t="shared" si="21"/>
        <v>0.90500000000000003</v>
      </c>
      <c r="K13" s="12">
        <f t="shared" si="21"/>
        <v>1</v>
      </c>
      <c r="L13" s="12">
        <f t="shared" si="21"/>
        <v>1</v>
      </c>
      <c r="M13" s="12">
        <f t="shared" si="21"/>
        <v>0.95250000000000001</v>
      </c>
      <c r="N13" s="12">
        <f t="shared" si="21"/>
        <v>0.86749999999999994</v>
      </c>
      <c r="O13" s="12">
        <f t="shared" si="21"/>
        <v>0.84750000000000003</v>
      </c>
      <c r="P13" s="12">
        <f t="shared" si="21"/>
        <v>0.875</v>
      </c>
      <c r="Q13" s="12">
        <f t="shared" si="21"/>
        <v>0.875</v>
      </c>
      <c r="R13" s="12">
        <f t="shared" si="21"/>
        <v>0.84750000000000003</v>
      </c>
      <c r="S13" s="12">
        <f t="shared" si="21"/>
        <v>0.86749999999999994</v>
      </c>
      <c r="T13" s="13">
        <f t="shared" si="21"/>
        <v>0.95250000000000001</v>
      </c>
      <c r="U13" s="14"/>
      <c r="V13" s="11">
        <f t="shared" si="21"/>
        <v>17.5</v>
      </c>
      <c r="W13" s="7"/>
      <c r="X13" s="12">
        <f t="shared" si="21"/>
        <v>1</v>
      </c>
      <c r="Y13" s="12">
        <f t="shared" si="21"/>
        <v>0.92999999999999994</v>
      </c>
      <c r="Z13" s="12">
        <f t="shared" si="21"/>
        <v>0.92999999999999994</v>
      </c>
      <c r="AA13" s="12">
        <f t="shared" si="21"/>
        <v>0.88</v>
      </c>
      <c r="AB13" s="12">
        <f t="shared" si="21"/>
        <v>0.88</v>
      </c>
      <c r="AC13" s="12">
        <f t="shared" si="21"/>
        <v>0.86</v>
      </c>
      <c r="AD13" s="12">
        <f t="shared" si="21"/>
        <v>0.86</v>
      </c>
      <c r="AE13" s="12">
        <f t="shared" si="21"/>
        <v>0.88500000000000001</v>
      </c>
      <c r="AF13" s="12">
        <f t="shared" si="21"/>
        <v>0.88500000000000001</v>
      </c>
      <c r="AG13" s="12">
        <f t="shared" si="21"/>
        <v>0.87250000000000005</v>
      </c>
      <c r="AH13" s="12">
        <f t="shared" si="21"/>
        <v>0.87</v>
      </c>
      <c r="AI13" s="12">
        <f t="shared" si="21"/>
        <v>0.90500000000000003</v>
      </c>
      <c r="AJ13" s="12">
        <f t="shared" si="21"/>
        <v>0.96499999999999997</v>
      </c>
      <c r="AK13" s="12">
        <f t="shared" si="21"/>
        <v>0.96499999999999997</v>
      </c>
      <c r="AL13" s="12">
        <f t="shared" si="21"/>
        <v>0.90500000000000003</v>
      </c>
      <c r="AM13" s="12">
        <f t="shared" si="21"/>
        <v>0.87</v>
      </c>
      <c r="AN13" s="12">
        <f t="shared" si="21"/>
        <v>0.87250000000000005</v>
      </c>
      <c r="AQ13" s="171">
        <v>157.5</v>
      </c>
      <c r="AR13" s="171" t="s">
        <v>419</v>
      </c>
    </row>
    <row r="14" spans="2:44">
      <c r="B14" s="7">
        <v>20</v>
      </c>
      <c r="C14" s="8" t="s">
        <v>34</v>
      </c>
      <c r="D14" s="9" t="s">
        <v>46</v>
      </c>
      <c r="E14" s="9" t="s">
        <v>49</v>
      </c>
      <c r="F14" s="9" t="s">
        <v>49</v>
      </c>
      <c r="G14" s="9" t="s">
        <v>50</v>
      </c>
      <c r="H14" s="9" t="s">
        <v>50</v>
      </c>
      <c r="I14" s="9" t="s">
        <v>45</v>
      </c>
      <c r="J14" s="9" t="s">
        <v>45</v>
      </c>
      <c r="K14" s="9" t="s">
        <v>35</v>
      </c>
      <c r="L14" s="9" t="str">
        <f t="shared" si="1"/>
        <v>1,00</v>
      </c>
      <c r="M14" s="9">
        <f t="shared" si="2"/>
        <v>0.94500000000000006</v>
      </c>
      <c r="N14" s="9">
        <f t="shared" si="3"/>
        <v>0.84499999999999997</v>
      </c>
      <c r="O14" s="9">
        <f t="shared" si="4"/>
        <v>0.82000000000000006</v>
      </c>
      <c r="P14" s="9">
        <f t="shared" si="5"/>
        <v>0.85</v>
      </c>
      <c r="Q14" s="9">
        <f t="shared" si="6"/>
        <v>0.85</v>
      </c>
      <c r="R14" s="9">
        <f t="shared" si="7"/>
        <v>0.82000000000000006</v>
      </c>
      <c r="S14" s="9">
        <f t="shared" si="8"/>
        <v>0.84499999999999997</v>
      </c>
      <c r="T14" s="10">
        <f t="shared" si="9"/>
        <v>0.94500000000000006</v>
      </c>
      <c r="U14" s="2"/>
      <c r="V14" s="11">
        <v>20</v>
      </c>
      <c r="W14" s="8" t="s">
        <v>36</v>
      </c>
      <c r="X14" s="9" t="s">
        <v>35</v>
      </c>
      <c r="Y14" s="9" t="s">
        <v>43</v>
      </c>
      <c r="Z14" s="9" t="s">
        <v>43</v>
      </c>
      <c r="AA14" s="9" t="s">
        <v>46</v>
      </c>
      <c r="AB14" s="9" t="s">
        <v>46</v>
      </c>
      <c r="AC14" s="9" t="s">
        <v>49</v>
      </c>
      <c r="AD14" s="9" t="s">
        <v>49</v>
      </c>
      <c r="AE14" s="9" t="s">
        <v>51</v>
      </c>
      <c r="AF14" s="9" t="str">
        <f t="shared" si="10"/>
        <v>0,87</v>
      </c>
      <c r="AG14" s="9">
        <f t="shared" si="11"/>
        <v>0.85499999999999998</v>
      </c>
      <c r="AH14" s="9">
        <f t="shared" si="12"/>
        <v>0.85</v>
      </c>
      <c r="AI14" s="9">
        <f t="shared" si="13"/>
        <v>0.89</v>
      </c>
      <c r="AJ14" s="9">
        <f t="shared" si="14"/>
        <v>0.96</v>
      </c>
      <c r="AK14" s="9">
        <f t="shared" si="15"/>
        <v>0.96</v>
      </c>
      <c r="AL14" s="9">
        <f t="shared" si="16"/>
        <v>0.89</v>
      </c>
      <c r="AM14" s="9">
        <f t="shared" si="17"/>
        <v>0.85</v>
      </c>
      <c r="AN14" s="9">
        <f t="shared" si="18"/>
        <v>0.85499999999999998</v>
      </c>
      <c r="AQ14" s="171">
        <v>180</v>
      </c>
      <c r="AR14" s="171" t="s">
        <v>377</v>
      </c>
    </row>
    <row r="15" spans="2:44">
      <c r="B15" s="7">
        <f>0.5*(B14+B16)</f>
        <v>22.5</v>
      </c>
      <c r="C15" s="7"/>
      <c r="D15" s="12">
        <f t="shared" ref="D15:AN15" si="22">0.5*(D14+D16)</f>
        <v>0.79499999999999993</v>
      </c>
      <c r="E15" s="12">
        <f t="shared" si="22"/>
        <v>0.78499999999999992</v>
      </c>
      <c r="F15" s="12">
        <f t="shared" si="22"/>
        <v>0.78499999999999992</v>
      </c>
      <c r="G15" s="12">
        <f t="shared" si="22"/>
        <v>0.76</v>
      </c>
      <c r="H15" s="12">
        <f t="shared" si="22"/>
        <v>0.76</v>
      </c>
      <c r="I15" s="12">
        <f t="shared" si="22"/>
        <v>0.88</v>
      </c>
      <c r="J15" s="12">
        <f t="shared" si="22"/>
        <v>0.88</v>
      </c>
      <c r="K15" s="12">
        <f t="shared" si="22"/>
        <v>1</v>
      </c>
      <c r="L15" s="12">
        <f t="shared" si="22"/>
        <v>1</v>
      </c>
      <c r="M15" s="12">
        <f t="shared" si="22"/>
        <v>0.94000000000000006</v>
      </c>
      <c r="N15" s="12">
        <f t="shared" si="22"/>
        <v>0.82</v>
      </c>
      <c r="O15" s="12">
        <f t="shared" si="22"/>
        <v>0.77249999999999996</v>
      </c>
      <c r="P15" s="12">
        <f t="shared" si="22"/>
        <v>0.79</v>
      </c>
      <c r="Q15" s="12">
        <f t="shared" si="22"/>
        <v>0.79</v>
      </c>
      <c r="R15" s="12">
        <f t="shared" si="22"/>
        <v>0.77249999999999996</v>
      </c>
      <c r="S15" s="12">
        <f t="shared" si="22"/>
        <v>0.82</v>
      </c>
      <c r="T15" s="13">
        <f t="shared" si="22"/>
        <v>0.94000000000000006</v>
      </c>
      <c r="U15" s="14"/>
      <c r="V15" s="11">
        <f t="shared" si="22"/>
        <v>22.5</v>
      </c>
      <c r="W15" s="7"/>
      <c r="X15" s="12">
        <f t="shared" si="22"/>
        <v>1</v>
      </c>
      <c r="Y15" s="12">
        <f t="shared" si="22"/>
        <v>0.91</v>
      </c>
      <c r="Z15" s="12">
        <f t="shared" si="22"/>
        <v>0.91</v>
      </c>
      <c r="AA15" s="12">
        <f t="shared" si="22"/>
        <v>0.84499999999999997</v>
      </c>
      <c r="AB15" s="12">
        <f t="shared" si="22"/>
        <v>0.84499999999999997</v>
      </c>
      <c r="AC15" s="12">
        <f t="shared" si="22"/>
        <v>0.83</v>
      </c>
      <c r="AD15" s="12">
        <f t="shared" si="22"/>
        <v>0.83</v>
      </c>
      <c r="AE15" s="12">
        <f t="shared" si="22"/>
        <v>0.87</v>
      </c>
      <c r="AF15" s="12">
        <f t="shared" si="22"/>
        <v>0.87</v>
      </c>
      <c r="AG15" s="12">
        <f t="shared" si="22"/>
        <v>0.85</v>
      </c>
      <c r="AH15" s="12">
        <f t="shared" si="22"/>
        <v>0.83749999999999991</v>
      </c>
      <c r="AI15" s="12">
        <f t="shared" si="22"/>
        <v>0.87749999999999995</v>
      </c>
      <c r="AJ15" s="12">
        <f t="shared" si="22"/>
        <v>0.95499999999999996</v>
      </c>
      <c r="AK15" s="12">
        <f t="shared" si="22"/>
        <v>0.95499999999999996</v>
      </c>
      <c r="AL15" s="12">
        <f t="shared" si="22"/>
        <v>0.87749999999999995</v>
      </c>
      <c r="AM15" s="12">
        <f t="shared" si="22"/>
        <v>0.83749999999999991</v>
      </c>
      <c r="AN15" s="12">
        <f t="shared" si="22"/>
        <v>0.85</v>
      </c>
      <c r="AQ15" s="171">
        <v>202.5</v>
      </c>
      <c r="AR15" s="171" t="s">
        <v>420</v>
      </c>
    </row>
    <row r="16" spans="2:44">
      <c r="B16" s="7">
        <v>25</v>
      </c>
      <c r="C16" s="8" t="s">
        <v>34</v>
      </c>
      <c r="D16" s="9" t="s">
        <v>52</v>
      </c>
      <c r="E16" s="9" t="s">
        <v>52</v>
      </c>
      <c r="F16" s="9" t="s">
        <v>52</v>
      </c>
      <c r="G16" s="9" t="s">
        <v>53</v>
      </c>
      <c r="H16" s="9" t="s">
        <v>53</v>
      </c>
      <c r="I16" s="9" t="s">
        <v>51</v>
      </c>
      <c r="J16" s="9" t="s">
        <v>51</v>
      </c>
      <c r="K16" s="9" t="s">
        <v>35</v>
      </c>
      <c r="L16" s="9" t="str">
        <f t="shared" si="1"/>
        <v>1,00</v>
      </c>
      <c r="M16" s="9">
        <f t="shared" si="2"/>
        <v>0.93500000000000005</v>
      </c>
      <c r="N16" s="9">
        <f t="shared" si="3"/>
        <v>0.79499999999999993</v>
      </c>
      <c r="O16" s="9">
        <f t="shared" si="4"/>
        <v>0.72499999999999998</v>
      </c>
      <c r="P16" s="9">
        <f t="shared" si="5"/>
        <v>0.73</v>
      </c>
      <c r="Q16" s="9">
        <f t="shared" si="6"/>
        <v>0.73</v>
      </c>
      <c r="R16" s="9">
        <f t="shared" si="7"/>
        <v>0.72499999999999998</v>
      </c>
      <c r="S16" s="9">
        <f t="shared" si="8"/>
        <v>0.79499999999999993</v>
      </c>
      <c r="T16" s="10">
        <f t="shared" si="9"/>
        <v>0.93500000000000005</v>
      </c>
      <c r="U16" s="2"/>
      <c r="V16" s="11">
        <v>25</v>
      </c>
      <c r="W16" s="8" t="s">
        <v>36</v>
      </c>
      <c r="X16" s="9" t="s">
        <v>35</v>
      </c>
      <c r="Y16" s="9" t="s">
        <v>47</v>
      </c>
      <c r="Z16" s="9" t="s">
        <v>47</v>
      </c>
      <c r="AA16" s="9" t="s">
        <v>54</v>
      </c>
      <c r="AB16" s="9" t="s">
        <v>54</v>
      </c>
      <c r="AC16" s="9" t="s">
        <v>55</v>
      </c>
      <c r="AD16" s="9" t="s">
        <v>55</v>
      </c>
      <c r="AE16" s="9" t="s">
        <v>51</v>
      </c>
      <c r="AF16" s="9" t="str">
        <f t="shared" si="10"/>
        <v>0,87</v>
      </c>
      <c r="AG16" s="9">
        <f t="shared" si="11"/>
        <v>0.84499999999999997</v>
      </c>
      <c r="AH16" s="9">
        <f t="shared" si="12"/>
        <v>0.82499999999999996</v>
      </c>
      <c r="AI16" s="9">
        <f t="shared" si="13"/>
        <v>0.86499999999999999</v>
      </c>
      <c r="AJ16" s="9">
        <f t="shared" si="14"/>
        <v>0.95</v>
      </c>
      <c r="AK16" s="9">
        <f t="shared" si="15"/>
        <v>0.95</v>
      </c>
      <c r="AL16" s="9">
        <f t="shared" si="16"/>
        <v>0.86499999999999999</v>
      </c>
      <c r="AM16" s="9">
        <f t="shared" si="17"/>
        <v>0.82499999999999996</v>
      </c>
      <c r="AN16" s="9">
        <f t="shared" si="18"/>
        <v>0.84499999999999997</v>
      </c>
      <c r="AQ16" s="171">
        <v>225</v>
      </c>
      <c r="AR16" s="171" t="s">
        <v>381</v>
      </c>
    </row>
    <row r="17" spans="2:44">
      <c r="B17" s="7">
        <f>0.5*(B16+B18)</f>
        <v>27.5</v>
      </c>
      <c r="C17" s="7"/>
      <c r="D17" s="12">
        <f t="shared" ref="D17:AN17" si="23">0.5*(D16+D18)</f>
        <v>0.66999999999999993</v>
      </c>
      <c r="E17" s="12">
        <f t="shared" si="23"/>
        <v>0.67500000000000004</v>
      </c>
      <c r="F17" s="12">
        <f t="shared" si="23"/>
        <v>0.67500000000000004</v>
      </c>
      <c r="G17" s="12">
        <f t="shared" si="23"/>
        <v>0.68500000000000005</v>
      </c>
      <c r="H17" s="12">
        <f t="shared" si="23"/>
        <v>0.68500000000000005</v>
      </c>
      <c r="I17" s="12">
        <f t="shared" si="23"/>
        <v>0.86</v>
      </c>
      <c r="J17" s="12">
        <f t="shared" si="23"/>
        <v>0.86</v>
      </c>
      <c r="K17" s="12">
        <f t="shared" si="23"/>
        <v>1</v>
      </c>
      <c r="L17" s="12">
        <f t="shared" si="23"/>
        <v>1</v>
      </c>
      <c r="M17" s="12">
        <f t="shared" si="23"/>
        <v>0.93</v>
      </c>
      <c r="N17" s="12">
        <f t="shared" si="23"/>
        <v>0.77249999999999996</v>
      </c>
      <c r="O17" s="12">
        <f t="shared" si="23"/>
        <v>0.67999999999999994</v>
      </c>
      <c r="P17" s="12">
        <f t="shared" si="23"/>
        <v>0.67249999999999999</v>
      </c>
      <c r="Q17" s="12">
        <f t="shared" si="23"/>
        <v>0.67249999999999999</v>
      </c>
      <c r="R17" s="12">
        <f t="shared" si="23"/>
        <v>0.67999999999999994</v>
      </c>
      <c r="S17" s="12">
        <f t="shared" si="23"/>
        <v>0.77249999999999996</v>
      </c>
      <c r="T17" s="13">
        <f t="shared" si="23"/>
        <v>0.93</v>
      </c>
      <c r="U17" s="14"/>
      <c r="V17" s="11">
        <f t="shared" si="23"/>
        <v>27.5</v>
      </c>
      <c r="W17" s="7"/>
      <c r="X17" s="12">
        <f t="shared" si="23"/>
        <v>1</v>
      </c>
      <c r="Y17" s="12">
        <f t="shared" si="23"/>
        <v>0.89500000000000002</v>
      </c>
      <c r="Z17" s="12">
        <f t="shared" si="23"/>
        <v>0.89500000000000002</v>
      </c>
      <c r="AA17" s="12">
        <f t="shared" si="23"/>
        <v>0.82000000000000006</v>
      </c>
      <c r="AB17" s="12">
        <f t="shared" si="23"/>
        <v>0.82000000000000006</v>
      </c>
      <c r="AC17" s="12">
        <f t="shared" si="23"/>
        <v>0.81499999999999995</v>
      </c>
      <c r="AD17" s="12">
        <f t="shared" si="23"/>
        <v>0.81499999999999995</v>
      </c>
      <c r="AE17" s="12">
        <f t="shared" si="23"/>
        <v>0.86499999999999999</v>
      </c>
      <c r="AF17" s="12">
        <f t="shared" si="23"/>
        <v>0.86499999999999999</v>
      </c>
      <c r="AG17" s="12">
        <f t="shared" si="23"/>
        <v>0.84</v>
      </c>
      <c r="AH17" s="12">
        <f t="shared" si="23"/>
        <v>0.8175</v>
      </c>
      <c r="AI17" s="12">
        <f t="shared" si="23"/>
        <v>0.85750000000000004</v>
      </c>
      <c r="AJ17" s="12">
        <f t="shared" si="23"/>
        <v>0.94750000000000001</v>
      </c>
      <c r="AK17" s="12">
        <f t="shared" si="23"/>
        <v>0.94750000000000001</v>
      </c>
      <c r="AL17" s="12">
        <f t="shared" si="23"/>
        <v>0.85750000000000004</v>
      </c>
      <c r="AM17" s="12">
        <f t="shared" si="23"/>
        <v>0.8175</v>
      </c>
      <c r="AN17" s="12">
        <f t="shared" si="23"/>
        <v>0.84</v>
      </c>
      <c r="AQ17" s="171">
        <v>247.5</v>
      </c>
      <c r="AR17" s="171" t="s">
        <v>421</v>
      </c>
    </row>
    <row r="18" spans="2:44">
      <c r="B18" s="7">
        <v>30</v>
      </c>
      <c r="C18" s="8" t="s">
        <v>34</v>
      </c>
      <c r="D18" s="9" t="s">
        <v>56</v>
      </c>
      <c r="E18" s="9" t="s">
        <v>57</v>
      </c>
      <c r="F18" s="9" t="s">
        <v>57</v>
      </c>
      <c r="G18" s="9" t="s">
        <v>58</v>
      </c>
      <c r="H18" s="9" t="s">
        <v>58</v>
      </c>
      <c r="I18" s="9" t="s">
        <v>59</v>
      </c>
      <c r="J18" s="9" t="s">
        <v>59</v>
      </c>
      <c r="K18" s="9" t="s">
        <v>35</v>
      </c>
      <c r="L18" s="9" t="str">
        <f t="shared" si="1"/>
        <v>1,00</v>
      </c>
      <c r="M18" s="9">
        <f t="shared" si="2"/>
        <v>0.92500000000000004</v>
      </c>
      <c r="N18" s="9">
        <f t="shared" si="3"/>
        <v>0.75</v>
      </c>
      <c r="O18" s="9">
        <f t="shared" si="4"/>
        <v>0.63500000000000001</v>
      </c>
      <c r="P18" s="9">
        <f t="shared" si="5"/>
        <v>0.61499999999999999</v>
      </c>
      <c r="Q18" s="9">
        <f t="shared" si="6"/>
        <v>0.61499999999999999</v>
      </c>
      <c r="R18" s="9">
        <f t="shared" si="7"/>
        <v>0.63500000000000001</v>
      </c>
      <c r="S18" s="9">
        <f t="shared" si="8"/>
        <v>0.75</v>
      </c>
      <c r="T18" s="10">
        <f t="shared" si="9"/>
        <v>0.92500000000000004</v>
      </c>
      <c r="U18" s="2"/>
      <c r="V18" s="11">
        <v>30</v>
      </c>
      <c r="W18" s="8" t="s">
        <v>36</v>
      </c>
      <c r="X18" s="9" t="s">
        <v>35</v>
      </c>
      <c r="Y18" s="9" t="s">
        <v>45</v>
      </c>
      <c r="Z18" s="9" t="s">
        <v>45</v>
      </c>
      <c r="AA18" s="9" t="s">
        <v>60</v>
      </c>
      <c r="AB18" s="9" t="s">
        <v>60</v>
      </c>
      <c r="AC18" s="9" t="s">
        <v>60</v>
      </c>
      <c r="AD18" s="9" t="s">
        <v>60</v>
      </c>
      <c r="AE18" s="9" t="s">
        <v>46</v>
      </c>
      <c r="AF18" s="9" t="str">
        <f t="shared" si="10"/>
        <v>0,86</v>
      </c>
      <c r="AG18" s="9">
        <f t="shared" si="11"/>
        <v>0.83499999999999996</v>
      </c>
      <c r="AH18" s="9">
        <f t="shared" si="12"/>
        <v>0.81</v>
      </c>
      <c r="AI18" s="9">
        <f t="shared" si="13"/>
        <v>0.85000000000000009</v>
      </c>
      <c r="AJ18" s="9">
        <f t="shared" si="14"/>
        <v>0.94500000000000006</v>
      </c>
      <c r="AK18" s="9">
        <f t="shared" si="15"/>
        <v>0.94500000000000006</v>
      </c>
      <c r="AL18" s="9">
        <f t="shared" si="16"/>
        <v>0.85000000000000009</v>
      </c>
      <c r="AM18" s="9">
        <f t="shared" si="17"/>
        <v>0.81</v>
      </c>
      <c r="AN18" s="9">
        <f t="shared" si="18"/>
        <v>0.83499999999999996</v>
      </c>
      <c r="AQ18" s="171">
        <v>270</v>
      </c>
      <c r="AR18" s="171" t="s">
        <v>378</v>
      </c>
    </row>
    <row r="19" spans="2:44">
      <c r="B19" s="7">
        <f>0.5*(B18+B20)</f>
        <v>32.5</v>
      </c>
      <c r="C19" s="7"/>
      <c r="D19" s="12">
        <f t="shared" ref="D19:AN19" si="24">0.5*(D18+D20)</f>
        <v>0.57000000000000006</v>
      </c>
      <c r="E19" s="12">
        <f t="shared" si="24"/>
        <v>0.58000000000000007</v>
      </c>
      <c r="F19" s="12">
        <f t="shared" si="24"/>
        <v>0.58000000000000007</v>
      </c>
      <c r="G19" s="12">
        <f t="shared" si="24"/>
        <v>0.63</v>
      </c>
      <c r="H19" s="12">
        <f t="shared" si="24"/>
        <v>0.63</v>
      </c>
      <c r="I19" s="12">
        <f t="shared" si="24"/>
        <v>0.84499999999999997</v>
      </c>
      <c r="J19" s="12">
        <f t="shared" si="24"/>
        <v>0.84499999999999997</v>
      </c>
      <c r="K19" s="12">
        <f t="shared" si="24"/>
        <v>1</v>
      </c>
      <c r="L19" s="12">
        <f t="shared" si="24"/>
        <v>1</v>
      </c>
      <c r="M19" s="12">
        <f t="shared" si="24"/>
        <v>0.92249999999999999</v>
      </c>
      <c r="N19" s="12">
        <f t="shared" si="24"/>
        <v>0.73750000000000004</v>
      </c>
      <c r="O19" s="12">
        <f t="shared" si="24"/>
        <v>0.60499999999999998</v>
      </c>
      <c r="P19" s="12">
        <f t="shared" si="24"/>
        <v>0.57499999999999996</v>
      </c>
      <c r="Q19" s="12">
        <f t="shared" si="24"/>
        <v>0.57499999999999996</v>
      </c>
      <c r="R19" s="12">
        <f t="shared" si="24"/>
        <v>0.60499999999999998</v>
      </c>
      <c r="S19" s="12">
        <f t="shared" si="24"/>
        <v>0.73750000000000004</v>
      </c>
      <c r="T19" s="13">
        <f t="shared" si="24"/>
        <v>0.92249999999999999</v>
      </c>
      <c r="U19" s="14"/>
      <c r="V19" s="11">
        <f t="shared" si="24"/>
        <v>32.5</v>
      </c>
      <c r="W19" s="7"/>
      <c r="X19" s="12">
        <f t="shared" si="24"/>
        <v>0.995</v>
      </c>
      <c r="Y19" s="12">
        <f t="shared" si="24"/>
        <v>0.87</v>
      </c>
      <c r="Z19" s="12">
        <f t="shared" si="24"/>
        <v>0.87</v>
      </c>
      <c r="AA19" s="12">
        <f t="shared" si="24"/>
        <v>0.79</v>
      </c>
      <c r="AB19" s="12">
        <f t="shared" si="24"/>
        <v>0.79</v>
      </c>
      <c r="AC19" s="12">
        <f t="shared" si="24"/>
        <v>0.79</v>
      </c>
      <c r="AD19" s="12">
        <f t="shared" si="24"/>
        <v>0.79</v>
      </c>
      <c r="AE19" s="12">
        <f t="shared" si="24"/>
        <v>0.86</v>
      </c>
      <c r="AF19" s="12">
        <f t="shared" si="24"/>
        <v>0.86</v>
      </c>
      <c r="AG19" s="12">
        <f t="shared" si="24"/>
        <v>0.82499999999999996</v>
      </c>
      <c r="AH19" s="12">
        <f t="shared" si="24"/>
        <v>0.79</v>
      </c>
      <c r="AI19" s="12">
        <f t="shared" si="24"/>
        <v>0.83000000000000007</v>
      </c>
      <c r="AJ19" s="12">
        <f t="shared" si="24"/>
        <v>0.9325</v>
      </c>
      <c r="AK19" s="12">
        <f t="shared" si="24"/>
        <v>0.9325</v>
      </c>
      <c r="AL19" s="12">
        <f t="shared" si="24"/>
        <v>0.83000000000000007</v>
      </c>
      <c r="AM19" s="12">
        <f t="shared" si="24"/>
        <v>0.79</v>
      </c>
      <c r="AN19" s="12">
        <f t="shared" si="24"/>
        <v>0.82499999999999996</v>
      </c>
      <c r="AQ19" s="171">
        <v>292.5</v>
      </c>
      <c r="AR19" s="171" t="s">
        <v>422</v>
      </c>
    </row>
    <row r="20" spans="2:44">
      <c r="B20" s="7">
        <v>35</v>
      </c>
      <c r="C20" s="8" t="s">
        <v>34</v>
      </c>
      <c r="D20" s="9" t="s">
        <v>61</v>
      </c>
      <c r="E20" s="9" t="s">
        <v>62</v>
      </c>
      <c r="F20" s="9" t="s">
        <v>62</v>
      </c>
      <c r="G20" s="9" t="s">
        <v>56</v>
      </c>
      <c r="H20" s="9" t="s">
        <v>56</v>
      </c>
      <c r="I20" s="9" t="s">
        <v>49</v>
      </c>
      <c r="J20" s="9" t="s">
        <v>49</v>
      </c>
      <c r="K20" s="9" t="s">
        <v>35</v>
      </c>
      <c r="L20" s="9" t="str">
        <f t="shared" si="1"/>
        <v>1,00</v>
      </c>
      <c r="M20" s="9">
        <f t="shared" si="2"/>
        <v>0.91999999999999993</v>
      </c>
      <c r="N20" s="9">
        <f t="shared" si="3"/>
        <v>0.72499999999999998</v>
      </c>
      <c r="O20" s="9">
        <f t="shared" si="4"/>
        <v>0.57499999999999996</v>
      </c>
      <c r="P20" s="9">
        <f t="shared" si="5"/>
        <v>0.53500000000000003</v>
      </c>
      <c r="Q20" s="9">
        <f t="shared" si="6"/>
        <v>0.53500000000000003</v>
      </c>
      <c r="R20" s="9">
        <f t="shared" si="7"/>
        <v>0.57499999999999996</v>
      </c>
      <c r="S20" s="9">
        <f t="shared" si="8"/>
        <v>0.72499999999999998</v>
      </c>
      <c r="T20" s="10">
        <f t="shared" si="9"/>
        <v>0.91999999999999993</v>
      </c>
      <c r="U20" s="2"/>
      <c r="V20" s="11">
        <v>35</v>
      </c>
      <c r="W20" s="8" t="s">
        <v>36</v>
      </c>
      <c r="X20" s="9" t="s">
        <v>63</v>
      </c>
      <c r="Y20" s="9" t="s">
        <v>59</v>
      </c>
      <c r="Z20" s="9" t="s">
        <v>59</v>
      </c>
      <c r="AA20" s="9" t="s">
        <v>64</v>
      </c>
      <c r="AB20" s="9" t="s">
        <v>64</v>
      </c>
      <c r="AC20" s="9" t="s">
        <v>64</v>
      </c>
      <c r="AD20" s="9" t="s">
        <v>64</v>
      </c>
      <c r="AE20" s="9" t="s">
        <v>46</v>
      </c>
      <c r="AF20" s="9" t="str">
        <f t="shared" si="10"/>
        <v>0,86</v>
      </c>
      <c r="AG20" s="9">
        <f t="shared" si="11"/>
        <v>0.81499999999999995</v>
      </c>
      <c r="AH20" s="9">
        <f t="shared" si="12"/>
        <v>0.77</v>
      </c>
      <c r="AI20" s="9">
        <f t="shared" si="13"/>
        <v>0.81</v>
      </c>
      <c r="AJ20" s="9">
        <f t="shared" si="14"/>
        <v>0.91999999999999993</v>
      </c>
      <c r="AK20" s="9">
        <f t="shared" si="15"/>
        <v>0.91999999999999993</v>
      </c>
      <c r="AL20" s="9">
        <f t="shared" si="16"/>
        <v>0.81</v>
      </c>
      <c r="AM20" s="9">
        <f t="shared" si="17"/>
        <v>0.77</v>
      </c>
      <c r="AN20" s="9">
        <f t="shared" si="18"/>
        <v>0.81499999999999995</v>
      </c>
      <c r="AQ20" s="171">
        <v>315</v>
      </c>
      <c r="AR20" s="171" t="s">
        <v>382</v>
      </c>
    </row>
    <row r="21" spans="2:44">
      <c r="B21" s="7">
        <f>0.5*(B20+B22)</f>
        <v>37.5</v>
      </c>
      <c r="C21" s="7"/>
      <c r="D21" s="12">
        <f t="shared" ref="D21:AN21" si="25">0.5*(D20+D22)</f>
        <v>0.48499999999999999</v>
      </c>
      <c r="E21" s="12">
        <f t="shared" si="25"/>
        <v>0.505</v>
      </c>
      <c r="F21" s="12">
        <f t="shared" si="25"/>
        <v>0.505</v>
      </c>
      <c r="G21" s="12">
        <f t="shared" si="25"/>
        <v>0.59</v>
      </c>
      <c r="H21" s="12">
        <f t="shared" si="25"/>
        <v>0.59</v>
      </c>
      <c r="I21" s="12">
        <f t="shared" si="25"/>
        <v>0.83499999999999996</v>
      </c>
      <c r="J21" s="12">
        <f t="shared" si="25"/>
        <v>0.83499999999999996</v>
      </c>
      <c r="K21" s="12">
        <f t="shared" si="25"/>
        <v>1</v>
      </c>
      <c r="L21" s="12">
        <f t="shared" si="25"/>
        <v>1</v>
      </c>
      <c r="M21" s="12">
        <f t="shared" si="25"/>
        <v>0.91749999999999998</v>
      </c>
      <c r="N21" s="12">
        <f t="shared" si="25"/>
        <v>0.71249999999999991</v>
      </c>
      <c r="O21" s="12">
        <f t="shared" si="25"/>
        <v>0.54749999999999999</v>
      </c>
      <c r="P21" s="12">
        <f t="shared" si="25"/>
        <v>0.495</v>
      </c>
      <c r="Q21" s="12">
        <f t="shared" si="25"/>
        <v>0.495</v>
      </c>
      <c r="R21" s="12">
        <f t="shared" si="25"/>
        <v>0.54749999999999999</v>
      </c>
      <c r="S21" s="12">
        <f t="shared" si="25"/>
        <v>0.71249999999999991</v>
      </c>
      <c r="T21" s="13">
        <f t="shared" si="25"/>
        <v>0.91749999999999998</v>
      </c>
      <c r="U21" s="14"/>
      <c r="V21" s="11">
        <f t="shared" si="25"/>
        <v>37.5</v>
      </c>
      <c r="W21" s="7"/>
      <c r="X21" s="12">
        <f t="shared" si="25"/>
        <v>0.98499999999999999</v>
      </c>
      <c r="Y21" s="12">
        <f t="shared" si="25"/>
        <v>0.83499999999999996</v>
      </c>
      <c r="Z21" s="12">
        <f t="shared" si="25"/>
        <v>0.83499999999999996</v>
      </c>
      <c r="AA21" s="12">
        <f t="shared" si="25"/>
        <v>0.745</v>
      </c>
      <c r="AB21" s="12">
        <f t="shared" si="25"/>
        <v>0.745</v>
      </c>
      <c r="AC21" s="12">
        <f t="shared" si="25"/>
        <v>0.75</v>
      </c>
      <c r="AD21" s="12">
        <f t="shared" si="25"/>
        <v>0.75</v>
      </c>
      <c r="AE21" s="12">
        <f t="shared" si="25"/>
        <v>0.85499999999999998</v>
      </c>
      <c r="AF21" s="12">
        <f t="shared" si="25"/>
        <v>0.85499999999999998</v>
      </c>
      <c r="AG21" s="12">
        <f t="shared" si="25"/>
        <v>0.80249999999999999</v>
      </c>
      <c r="AH21" s="12">
        <f t="shared" si="25"/>
        <v>0.74750000000000005</v>
      </c>
      <c r="AI21" s="12">
        <f t="shared" si="25"/>
        <v>0.79</v>
      </c>
      <c r="AJ21" s="12">
        <f t="shared" si="25"/>
        <v>0.90999999999999992</v>
      </c>
      <c r="AK21" s="12">
        <f t="shared" si="25"/>
        <v>0.90999999999999992</v>
      </c>
      <c r="AL21" s="12">
        <f t="shared" si="25"/>
        <v>0.79</v>
      </c>
      <c r="AM21" s="12">
        <f t="shared" si="25"/>
        <v>0.74750000000000005</v>
      </c>
      <c r="AN21" s="12">
        <f t="shared" si="25"/>
        <v>0.80249999999999999</v>
      </c>
      <c r="AQ21" s="171">
        <v>337.5</v>
      </c>
      <c r="AR21" s="171" t="s">
        <v>423</v>
      </c>
    </row>
    <row r="22" spans="2:44">
      <c r="B22" s="7">
        <v>40</v>
      </c>
      <c r="C22" s="8" t="s">
        <v>34</v>
      </c>
      <c r="D22" s="9" t="s">
        <v>65</v>
      </c>
      <c r="E22" s="9" t="s">
        <v>66</v>
      </c>
      <c r="F22" s="9" t="s">
        <v>66</v>
      </c>
      <c r="G22" s="9" t="s">
        <v>67</v>
      </c>
      <c r="H22" s="9" t="s">
        <v>67</v>
      </c>
      <c r="I22" s="9" t="s">
        <v>54</v>
      </c>
      <c r="J22" s="9" t="s">
        <v>54</v>
      </c>
      <c r="K22" s="9" t="s">
        <v>35</v>
      </c>
      <c r="L22" s="9" t="str">
        <f t="shared" si="1"/>
        <v>1,00</v>
      </c>
      <c r="M22" s="9">
        <f t="shared" si="2"/>
        <v>0.91500000000000004</v>
      </c>
      <c r="N22" s="9">
        <f t="shared" si="3"/>
        <v>0.7</v>
      </c>
      <c r="O22" s="9">
        <f t="shared" si="4"/>
        <v>0.52</v>
      </c>
      <c r="P22" s="9">
        <f t="shared" si="5"/>
        <v>0.45499999999999996</v>
      </c>
      <c r="Q22" s="9">
        <f t="shared" si="6"/>
        <v>0.45499999999999996</v>
      </c>
      <c r="R22" s="9">
        <f t="shared" si="7"/>
        <v>0.52</v>
      </c>
      <c r="S22" s="9">
        <f t="shared" si="8"/>
        <v>0.7</v>
      </c>
      <c r="T22" s="10">
        <f t="shared" si="9"/>
        <v>0.91500000000000004</v>
      </c>
      <c r="U22" s="2"/>
      <c r="V22" s="11">
        <v>40</v>
      </c>
      <c r="W22" s="8" t="s">
        <v>36</v>
      </c>
      <c r="X22" s="9" t="s">
        <v>37</v>
      </c>
      <c r="Y22" s="9" t="s">
        <v>55</v>
      </c>
      <c r="Z22" s="9" t="s">
        <v>55</v>
      </c>
      <c r="AA22" s="9" t="s">
        <v>53</v>
      </c>
      <c r="AB22" s="9" t="s">
        <v>53</v>
      </c>
      <c r="AC22" s="9" t="s">
        <v>52</v>
      </c>
      <c r="AD22" s="9" t="s">
        <v>52</v>
      </c>
      <c r="AE22" s="9" t="s">
        <v>59</v>
      </c>
      <c r="AF22" s="9" t="str">
        <f t="shared" si="10"/>
        <v>0,85</v>
      </c>
      <c r="AG22" s="9">
        <f t="shared" si="11"/>
        <v>0.79</v>
      </c>
      <c r="AH22" s="9">
        <f t="shared" si="12"/>
        <v>0.72499999999999998</v>
      </c>
      <c r="AI22" s="9">
        <f t="shared" si="13"/>
        <v>0.77</v>
      </c>
      <c r="AJ22" s="9">
        <f t="shared" si="14"/>
        <v>0.89999999999999991</v>
      </c>
      <c r="AK22" s="9">
        <f t="shared" si="15"/>
        <v>0.89999999999999991</v>
      </c>
      <c r="AL22" s="9">
        <f t="shared" si="16"/>
        <v>0.77</v>
      </c>
      <c r="AM22" s="9">
        <f t="shared" si="17"/>
        <v>0.72499999999999998</v>
      </c>
      <c r="AN22" s="9">
        <f t="shared" si="18"/>
        <v>0.79</v>
      </c>
      <c r="AQ22" s="171">
        <v>360</v>
      </c>
      <c r="AR22" s="171" t="s">
        <v>375</v>
      </c>
    </row>
    <row r="23" spans="2:44">
      <c r="B23" s="7">
        <f>0.5*(B22+B24)</f>
        <v>42.5</v>
      </c>
      <c r="C23" s="7"/>
      <c r="D23" s="12">
        <f t="shared" ref="D23:AN23" si="26">0.5*(D22+D24)</f>
        <v>0.42000000000000004</v>
      </c>
      <c r="E23" s="12">
        <f t="shared" si="26"/>
        <v>0.45499999999999996</v>
      </c>
      <c r="F23" s="12">
        <f t="shared" si="26"/>
        <v>0.45499999999999996</v>
      </c>
      <c r="G23" s="12">
        <f t="shared" si="26"/>
        <v>0.56000000000000005</v>
      </c>
      <c r="H23" s="12">
        <f t="shared" si="26"/>
        <v>0.56000000000000005</v>
      </c>
      <c r="I23" s="12">
        <f t="shared" si="26"/>
        <v>0.82499999999999996</v>
      </c>
      <c r="J23" s="12">
        <f t="shared" si="26"/>
        <v>0.82499999999999996</v>
      </c>
      <c r="K23" s="12">
        <f t="shared" si="26"/>
        <v>1</v>
      </c>
      <c r="L23" s="12">
        <f t="shared" si="26"/>
        <v>1</v>
      </c>
      <c r="M23" s="12">
        <f t="shared" si="26"/>
        <v>0.91249999999999998</v>
      </c>
      <c r="N23" s="12">
        <f t="shared" si="26"/>
        <v>0.6925</v>
      </c>
      <c r="O23" s="12">
        <f t="shared" si="26"/>
        <v>0.50750000000000006</v>
      </c>
      <c r="P23" s="12">
        <f t="shared" si="26"/>
        <v>0.4375</v>
      </c>
      <c r="Q23" s="12">
        <f t="shared" si="26"/>
        <v>0.4375</v>
      </c>
      <c r="R23" s="12">
        <f t="shared" si="26"/>
        <v>0.50750000000000006</v>
      </c>
      <c r="S23" s="12">
        <f t="shared" si="26"/>
        <v>0.6925</v>
      </c>
      <c r="T23" s="13">
        <f t="shared" si="26"/>
        <v>0.91249999999999998</v>
      </c>
      <c r="U23" s="14"/>
      <c r="V23" s="11">
        <f t="shared" si="26"/>
        <v>42.5</v>
      </c>
      <c r="W23" s="7"/>
      <c r="X23" s="12">
        <f t="shared" si="26"/>
        <v>0.96499999999999997</v>
      </c>
      <c r="Y23" s="12">
        <f t="shared" si="26"/>
        <v>0.8</v>
      </c>
      <c r="Z23" s="12">
        <f t="shared" si="26"/>
        <v>0.8</v>
      </c>
      <c r="AA23" s="12">
        <f t="shared" si="26"/>
        <v>0.7</v>
      </c>
      <c r="AB23" s="12">
        <f t="shared" si="26"/>
        <v>0.7</v>
      </c>
      <c r="AC23" s="12">
        <f t="shared" si="26"/>
        <v>0.71499999999999997</v>
      </c>
      <c r="AD23" s="12">
        <f t="shared" si="26"/>
        <v>0.71499999999999997</v>
      </c>
      <c r="AE23" s="12">
        <f t="shared" si="26"/>
        <v>0.85</v>
      </c>
      <c r="AF23" s="12">
        <f t="shared" si="26"/>
        <v>0.85</v>
      </c>
      <c r="AG23" s="12">
        <f t="shared" si="26"/>
        <v>0.78249999999999997</v>
      </c>
      <c r="AH23" s="12">
        <f t="shared" si="26"/>
        <v>0.70750000000000002</v>
      </c>
      <c r="AI23" s="12">
        <f t="shared" si="26"/>
        <v>0.75</v>
      </c>
      <c r="AJ23" s="12">
        <f t="shared" si="26"/>
        <v>0.88249999999999995</v>
      </c>
      <c r="AK23" s="12">
        <f t="shared" si="26"/>
        <v>0.88249999999999995</v>
      </c>
      <c r="AL23" s="12">
        <f t="shared" si="26"/>
        <v>0.75</v>
      </c>
      <c r="AM23" s="12">
        <f t="shared" si="26"/>
        <v>0.70750000000000002</v>
      </c>
      <c r="AN23" s="12">
        <f t="shared" si="26"/>
        <v>0.78249999999999997</v>
      </c>
      <c r="AQ23" s="170"/>
      <c r="AR23" s="170"/>
    </row>
    <row r="24" spans="2:44">
      <c r="B24" s="7">
        <v>45</v>
      </c>
      <c r="C24" s="8" t="s">
        <v>34</v>
      </c>
      <c r="D24" s="9" t="s">
        <v>68</v>
      </c>
      <c r="E24" s="9" t="s">
        <v>65</v>
      </c>
      <c r="F24" s="9" t="s">
        <v>65</v>
      </c>
      <c r="G24" s="9" t="s">
        <v>69</v>
      </c>
      <c r="H24" s="9" t="s">
        <v>69</v>
      </c>
      <c r="I24" s="9" t="s">
        <v>55</v>
      </c>
      <c r="J24" s="9" t="s">
        <v>55</v>
      </c>
      <c r="K24" s="9" t="s">
        <v>35</v>
      </c>
      <c r="L24" s="9" t="str">
        <f t="shared" si="1"/>
        <v>1,00</v>
      </c>
      <c r="M24" s="9">
        <f t="shared" si="2"/>
        <v>0.90999999999999992</v>
      </c>
      <c r="N24" s="9">
        <f t="shared" si="3"/>
        <v>0.68500000000000005</v>
      </c>
      <c r="O24" s="9">
        <f t="shared" si="4"/>
        <v>0.495</v>
      </c>
      <c r="P24" s="9">
        <f t="shared" si="5"/>
        <v>0.42000000000000004</v>
      </c>
      <c r="Q24" s="9">
        <f t="shared" si="6"/>
        <v>0.42000000000000004</v>
      </c>
      <c r="R24" s="9">
        <f t="shared" si="7"/>
        <v>0.495</v>
      </c>
      <c r="S24" s="9">
        <f t="shared" si="8"/>
        <v>0.68500000000000005</v>
      </c>
      <c r="T24" s="10">
        <f t="shared" si="9"/>
        <v>0.90999999999999992</v>
      </c>
      <c r="U24" s="2"/>
      <c r="V24" s="11">
        <v>45</v>
      </c>
      <c r="W24" s="8" t="s">
        <v>36</v>
      </c>
      <c r="X24" s="9" t="s">
        <v>40</v>
      </c>
      <c r="Y24" s="9" t="s">
        <v>70</v>
      </c>
      <c r="Z24" s="9" t="s">
        <v>70</v>
      </c>
      <c r="AA24" s="9" t="s">
        <v>71</v>
      </c>
      <c r="AB24" s="9" t="s">
        <v>71</v>
      </c>
      <c r="AC24" s="9" t="s">
        <v>72</v>
      </c>
      <c r="AD24" s="9" t="s">
        <v>72</v>
      </c>
      <c r="AE24" s="9" t="s">
        <v>59</v>
      </c>
      <c r="AF24" s="9" t="str">
        <f t="shared" si="10"/>
        <v>0,85</v>
      </c>
      <c r="AG24" s="9">
        <f t="shared" si="11"/>
        <v>0.77499999999999991</v>
      </c>
      <c r="AH24" s="9">
        <f t="shared" si="12"/>
        <v>0.69</v>
      </c>
      <c r="AI24" s="9">
        <f t="shared" si="13"/>
        <v>0.73</v>
      </c>
      <c r="AJ24" s="9">
        <f t="shared" si="14"/>
        <v>0.86499999999999999</v>
      </c>
      <c r="AK24" s="9">
        <f t="shared" si="15"/>
        <v>0.86499999999999999</v>
      </c>
      <c r="AL24" s="9">
        <f t="shared" si="16"/>
        <v>0.73</v>
      </c>
      <c r="AM24" s="9">
        <f t="shared" si="17"/>
        <v>0.69</v>
      </c>
      <c r="AN24" s="9">
        <f t="shared" si="18"/>
        <v>0.77499999999999991</v>
      </c>
    </row>
    <row r="25" spans="2:44">
      <c r="B25" s="7">
        <f>0.5*(B24+B26)</f>
        <v>47.5</v>
      </c>
      <c r="C25" s="7"/>
      <c r="D25" s="12">
        <f t="shared" ref="D25:AN25" si="27">0.5*(D24+D26)</f>
        <v>0.38</v>
      </c>
      <c r="E25" s="12">
        <f t="shared" si="27"/>
        <v>0.42000000000000004</v>
      </c>
      <c r="F25" s="12">
        <f t="shared" si="27"/>
        <v>0.42000000000000004</v>
      </c>
      <c r="G25" s="12">
        <f t="shared" si="27"/>
        <v>0.54</v>
      </c>
      <c r="H25" s="12">
        <f t="shared" si="27"/>
        <v>0.54</v>
      </c>
      <c r="I25" s="12">
        <f t="shared" si="27"/>
        <v>0.81499999999999995</v>
      </c>
      <c r="J25" s="12">
        <f t="shared" si="27"/>
        <v>0.81499999999999995</v>
      </c>
      <c r="K25" s="12">
        <f t="shared" si="27"/>
        <v>1</v>
      </c>
      <c r="L25" s="12">
        <f t="shared" si="27"/>
        <v>1</v>
      </c>
      <c r="M25" s="12">
        <f t="shared" si="27"/>
        <v>0.90749999999999997</v>
      </c>
      <c r="N25" s="12">
        <f t="shared" si="27"/>
        <v>0.67749999999999999</v>
      </c>
      <c r="O25" s="12">
        <f t="shared" si="27"/>
        <v>0.48</v>
      </c>
      <c r="P25" s="12">
        <f t="shared" si="27"/>
        <v>0.4</v>
      </c>
      <c r="Q25" s="12">
        <f t="shared" si="27"/>
        <v>0.4</v>
      </c>
      <c r="R25" s="12">
        <f t="shared" si="27"/>
        <v>0.48</v>
      </c>
      <c r="S25" s="12">
        <f t="shared" si="27"/>
        <v>0.67749999999999999</v>
      </c>
      <c r="T25" s="13">
        <f t="shared" si="27"/>
        <v>0.90749999999999997</v>
      </c>
      <c r="U25" s="14"/>
      <c r="V25" s="11">
        <f t="shared" si="27"/>
        <v>47.5</v>
      </c>
      <c r="W25" s="7"/>
      <c r="X25" s="12">
        <f t="shared" si="27"/>
        <v>0.94</v>
      </c>
      <c r="Y25" s="12">
        <f t="shared" si="27"/>
        <v>0.76</v>
      </c>
      <c r="Z25" s="12">
        <f t="shared" si="27"/>
        <v>0.76</v>
      </c>
      <c r="AA25" s="12">
        <f t="shared" si="27"/>
        <v>0.65500000000000003</v>
      </c>
      <c r="AB25" s="12">
        <f t="shared" si="27"/>
        <v>0.65500000000000003</v>
      </c>
      <c r="AC25" s="12">
        <f t="shared" si="27"/>
        <v>0.68500000000000005</v>
      </c>
      <c r="AD25" s="12">
        <f t="shared" si="27"/>
        <v>0.68500000000000005</v>
      </c>
      <c r="AE25" s="12">
        <f t="shared" si="27"/>
        <v>0.85</v>
      </c>
      <c r="AF25" s="12">
        <f t="shared" si="27"/>
        <v>0.85</v>
      </c>
      <c r="AG25" s="12">
        <f t="shared" si="27"/>
        <v>0.76749999999999996</v>
      </c>
      <c r="AH25" s="12">
        <f t="shared" si="27"/>
        <v>0.66999999999999993</v>
      </c>
      <c r="AI25" s="12">
        <f t="shared" si="27"/>
        <v>0.70750000000000002</v>
      </c>
      <c r="AJ25" s="12">
        <f t="shared" si="27"/>
        <v>0.85</v>
      </c>
      <c r="AK25" s="12">
        <f t="shared" si="27"/>
        <v>0.85</v>
      </c>
      <c r="AL25" s="12">
        <f t="shared" si="27"/>
        <v>0.70750000000000002</v>
      </c>
      <c r="AM25" s="12">
        <f t="shared" si="27"/>
        <v>0.66999999999999993</v>
      </c>
      <c r="AN25" s="12">
        <f t="shared" si="27"/>
        <v>0.76749999999999996</v>
      </c>
    </row>
    <row r="26" spans="2:44">
      <c r="B26" s="7">
        <v>50</v>
      </c>
      <c r="C26" s="8" t="s">
        <v>34</v>
      </c>
      <c r="D26" s="9" t="s">
        <v>73</v>
      </c>
      <c r="E26" s="9" t="s">
        <v>68</v>
      </c>
      <c r="F26" s="9" t="s">
        <v>68</v>
      </c>
      <c r="G26" s="9" t="s">
        <v>61</v>
      </c>
      <c r="H26" s="9" t="s">
        <v>61</v>
      </c>
      <c r="I26" s="9" t="s">
        <v>60</v>
      </c>
      <c r="J26" s="9" t="s">
        <v>60</v>
      </c>
      <c r="K26" s="9" t="s">
        <v>35</v>
      </c>
      <c r="L26" s="9" t="str">
        <f t="shared" si="1"/>
        <v>1,00</v>
      </c>
      <c r="M26" s="9">
        <f t="shared" si="2"/>
        <v>0.90500000000000003</v>
      </c>
      <c r="N26" s="9">
        <f t="shared" si="3"/>
        <v>0.67</v>
      </c>
      <c r="O26" s="9">
        <f t="shared" si="4"/>
        <v>0.46500000000000002</v>
      </c>
      <c r="P26" s="9">
        <f t="shared" si="5"/>
        <v>0.38</v>
      </c>
      <c r="Q26" s="9">
        <f t="shared" si="6"/>
        <v>0.38</v>
      </c>
      <c r="R26" s="9">
        <f t="shared" si="7"/>
        <v>0.46500000000000002</v>
      </c>
      <c r="S26" s="9">
        <f t="shared" si="8"/>
        <v>0.67</v>
      </c>
      <c r="T26" s="10">
        <f t="shared" si="9"/>
        <v>0.90500000000000003</v>
      </c>
      <c r="U26" s="2"/>
      <c r="V26" s="11">
        <v>50</v>
      </c>
      <c r="W26" s="8" t="s">
        <v>36</v>
      </c>
      <c r="X26" s="9" t="s">
        <v>41</v>
      </c>
      <c r="Y26" s="9" t="s">
        <v>74</v>
      </c>
      <c r="Z26" s="9" t="s">
        <v>74</v>
      </c>
      <c r="AA26" s="9" t="s">
        <v>75</v>
      </c>
      <c r="AB26" s="9" t="s">
        <v>75</v>
      </c>
      <c r="AC26" s="9" t="s">
        <v>76</v>
      </c>
      <c r="AD26" s="9" t="s">
        <v>76</v>
      </c>
      <c r="AE26" s="9" t="s">
        <v>59</v>
      </c>
      <c r="AF26" s="9" t="str">
        <f t="shared" si="10"/>
        <v>0,85</v>
      </c>
      <c r="AG26" s="9">
        <f t="shared" si="11"/>
        <v>0.76</v>
      </c>
      <c r="AH26" s="9">
        <f t="shared" si="12"/>
        <v>0.65</v>
      </c>
      <c r="AI26" s="9">
        <f t="shared" si="13"/>
        <v>0.68500000000000005</v>
      </c>
      <c r="AJ26" s="9">
        <f t="shared" si="14"/>
        <v>0.83499999999999996</v>
      </c>
      <c r="AK26" s="9">
        <f t="shared" si="15"/>
        <v>0.83499999999999996</v>
      </c>
      <c r="AL26" s="9">
        <f t="shared" si="16"/>
        <v>0.68500000000000005</v>
      </c>
      <c r="AM26" s="9">
        <f t="shared" si="17"/>
        <v>0.65</v>
      </c>
      <c r="AN26" s="9">
        <f t="shared" si="18"/>
        <v>0.76</v>
      </c>
    </row>
    <row r="27" spans="2:44">
      <c r="B27" s="7">
        <f>0.5*(B26+B28)</f>
        <v>52.5</v>
      </c>
      <c r="C27" s="7"/>
      <c r="D27" s="12">
        <f t="shared" ref="D27:AN27" si="28">0.5*(D26+D28)</f>
        <v>0.35</v>
      </c>
      <c r="E27" s="12">
        <f t="shared" si="28"/>
        <v>0.39</v>
      </c>
      <c r="F27" s="12">
        <f t="shared" si="28"/>
        <v>0.39</v>
      </c>
      <c r="G27" s="12">
        <f t="shared" si="28"/>
        <v>0.52500000000000002</v>
      </c>
      <c r="H27" s="12">
        <f t="shared" si="28"/>
        <v>0.52500000000000002</v>
      </c>
      <c r="I27" s="12">
        <f t="shared" si="28"/>
        <v>0.81</v>
      </c>
      <c r="J27" s="12">
        <f t="shared" si="28"/>
        <v>0.81</v>
      </c>
      <c r="K27" s="12">
        <f t="shared" si="28"/>
        <v>1</v>
      </c>
      <c r="L27" s="12">
        <f t="shared" si="28"/>
        <v>1</v>
      </c>
      <c r="M27" s="12">
        <f t="shared" si="28"/>
        <v>0.90500000000000003</v>
      </c>
      <c r="N27" s="12">
        <f t="shared" si="28"/>
        <v>0.66749999999999998</v>
      </c>
      <c r="O27" s="12">
        <f t="shared" si="28"/>
        <v>0.45750000000000002</v>
      </c>
      <c r="P27" s="12">
        <f t="shared" si="28"/>
        <v>0.37</v>
      </c>
      <c r="Q27" s="12">
        <f t="shared" si="28"/>
        <v>0.37</v>
      </c>
      <c r="R27" s="12">
        <f t="shared" si="28"/>
        <v>0.45750000000000002</v>
      </c>
      <c r="S27" s="12">
        <f t="shared" si="28"/>
        <v>0.66749999999999998</v>
      </c>
      <c r="T27" s="13">
        <f t="shared" si="28"/>
        <v>0.90500000000000003</v>
      </c>
      <c r="U27" s="14"/>
      <c r="V27" s="11">
        <f t="shared" si="28"/>
        <v>52.5</v>
      </c>
      <c r="W27" s="7"/>
      <c r="X27" s="12">
        <f t="shared" si="28"/>
        <v>0.91</v>
      </c>
      <c r="Y27" s="12">
        <f t="shared" si="28"/>
        <v>0.72</v>
      </c>
      <c r="Z27" s="12">
        <f t="shared" si="28"/>
        <v>0.72</v>
      </c>
      <c r="AA27" s="12">
        <f t="shared" si="28"/>
        <v>0.61499999999999999</v>
      </c>
      <c r="AB27" s="12">
        <f t="shared" si="28"/>
        <v>0.61499999999999999</v>
      </c>
      <c r="AC27" s="12">
        <f t="shared" si="28"/>
        <v>0.66</v>
      </c>
      <c r="AD27" s="12">
        <f t="shared" si="28"/>
        <v>0.66</v>
      </c>
      <c r="AE27" s="12">
        <f t="shared" si="28"/>
        <v>0.85</v>
      </c>
      <c r="AF27" s="12">
        <f t="shared" si="28"/>
        <v>0.85</v>
      </c>
      <c r="AG27" s="12">
        <f t="shared" si="28"/>
        <v>0.755</v>
      </c>
      <c r="AH27" s="12">
        <f t="shared" si="28"/>
        <v>0.63749999999999996</v>
      </c>
      <c r="AI27" s="12">
        <f t="shared" si="28"/>
        <v>0.66749999999999998</v>
      </c>
      <c r="AJ27" s="12">
        <f t="shared" si="28"/>
        <v>0.81499999999999995</v>
      </c>
      <c r="AK27" s="12">
        <f t="shared" si="28"/>
        <v>0.81499999999999995</v>
      </c>
      <c r="AL27" s="12">
        <f t="shared" si="28"/>
        <v>0.66749999999999998</v>
      </c>
      <c r="AM27" s="12">
        <f t="shared" si="28"/>
        <v>0.63749999999999996</v>
      </c>
      <c r="AN27" s="12">
        <f t="shared" si="28"/>
        <v>0.755</v>
      </c>
    </row>
    <row r="28" spans="2:44">
      <c r="B28" s="7">
        <v>55</v>
      </c>
      <c r="C28" s="8" t="s">
        <v>34</v>
      </c>
      <c r="D28" s="9" t="s">
        <v>77</v>
      </c>
      <c r="E28" s="9" t="s">
        <v>78</v>
      </c>
      <c r="F28" s="9" t="s">
        <v>78</v>
      </c>
      <c r="G28" s="9" t="s">
        <v>79</v>
      </c>
      <c r="H28" s="9" t="s">
        <v>79</v>
      </c>
      <c r="I28" s="9" t="s">
        <v>60</v>
      </c>
      <c r="J28" s="9" t="s">
        <v>60</v>
      </c>
      <c r="K28" s="9" t="s">
        <v>35</v>
      </c>
      <c r="L28" s="9" t="str">
        <f t="shared" si="1"/>
        <v>1,00</v>
      </c>
      <c r="M28" s="9">
        <f t="shared" si="2"/>
        <v>0.90500000000000003</v>
      </c>
      <c r="N28" s="9">
        <f t="shared" si="3"/>
        <v>0.66500000000000004</v>
      </c>
      <c r="O28" s="9">
        <f t="shared" si="4"/>
        <v>0.45</v>
      </c>
      <c r="P28" s="9">
        <f t="shared" si="5"/>
        <v>0.36</v>
      </c>
      <c r="Q28" s="9">
        <f t="shared" si="6"/>
        <v>0.36</v>
      </c>
      <c r="R28" s="9">
        <f t="shared" si="7"/>
        <v>0.45</v>
      </c>
      <c r="S28" s="9">
        <f t="shared" si="8"/>
        <v>0.66500000000000004</v>
      </c>
      <c r="T28" s="10">
        <f t="shared" si="9"/>
        <v>0.90500000000000003</v>
      </c>
      <c r="U28" s="2"/>
      <c r="V28" s="11">
        <v>55</v>
      </c>
      <c r="W28" s="8" t="s">
        <v>36</v>
      </c>
      <c r="X28" s="9" t="s">
        <v>45</v>
      </c>
      <c r="Y28" s="9" t="s">
        <v>72</v>
      </c>
      <c r="Z28" s="9" t="s">
        <v>72</v>
      </c>
      <c r="AA28" s="9" t="s">
        <v>80</v>
      </c>
      <c r="AB28" s="9" t="s">
        <v>80</v>
      </c>
      <c r="AC28" s="9" t="s">
        <v>58</v>
      </c>
      <c r="AD28" s="9" t="s">
        <v>58</v>
      </c>
      <c r="AE28" s="9" t="s">
        <v>59</v>
      </c>
      <c r="AF28" s="9" t="str">
        <f t="shared" si="10"/>
        <v>0,85</v>
      </c>
      <c r="AG28" s="9">
        <f t="shared" si="11"/>
        <v>0.75</v>
      </c>
      <c r="AH28" s="9">
        <f t="shared" si="12"/>
        <v>0.625</v>
      </c>
      <c r="AI28" s="9">
        <f t="shared" si="13"/>
        <v>0.64999999999999991</v>
      </c>
      <c r="AJ28" s="9">
        <f t="shared" si="14"/>
        <v>0.79499999999999993</v>
      </c>
      <c r="AK28" s="9">
        <f t="shared" si="15"/>
        <v>0.79499999999999993</v>
      </c>
      <c r="AL28" s="9">
        <f t="shared" si="16"/>
        <v>0.64999999999999991</v>
      </c>
      <c r="AM28" s="9">
        <f t="shared" si="17"/>
        <v>0.625</v>
      </c>
      <c r="AN28" s="9">
        <f t="shared" si="18"/>
        <v>0.75</v>
      </c>
    </row>
    <row r="29" spans="2:44">
      <c r="B29" s="7">
        <f>0.5*(B28+B30)</f>
        <v>57.5</v>
      </c>
      <c r="C29" s="7"/>
      <c r="D29" s="12">
        <f t="shared" ref="D29:AN29" si="29">0.5*(D28+D30)</f>
        <v>0.33</v>
      </c>
      <c r="E29" s="12">
        <f t="shared" si="29"/>
        <v>0.375</v>
      </c>
      <c r="F29" s="12">
        <f t="shared" si="29"/>
        <v>0.375</v>
      </c>
      <c r="G29" s="12">
        <f t="shared" si="29"/>
        <v>0.51500000000000001</v>
      </c>
      <c r="H29" s="12">
        <f t="shared" si="29"/>
        <v>0.51500000000000001</v>
      </c>
      <c r="I29" s="12">
        <f t="shared" si="29"/>
        <v>0.81</v>
      </c>
      <c r="J29" s="12">
        <f t="shared" si="29"/>
        <v>0.81</v>
      </c>
      <c r="K29" s="12">
        <f t="shared" si="29"/>
        <v>1</v>
      </c>
      <c r="L29" s="12">
        <f t="shared" si="29"/>
        <v>1</v>
      </c>
      <c r="M29" s="12">
        <f t="shared" si="29"/>
        <v>0.90500000000000003</v>
      </c>
      <c r="N29" s="12">
        <f t="shared" si="29"/>
        <v>0.66250000000000009</v>
      </c>
      <c r="O29" s="12">
        <f t="shared" si="29"/>
        <v>0.44500000000000001</v>
      </c>
      <c r="P29" s="12">
        <f t="shared" si="29"/>
        <v>0.35249999999999998</v>
      </c>
      <c r="Q29" s="12">
        <f t="shared" si="29"/>
        <v>0.35249999999999998</v>
      </c>
      <c r="R29" s="12">
        <f t="shared" si="29"/>
        <v>0.44500000000000001</v>
      </c>
      <c r="S29" s="12">
        <f t="shared" si="29"/>
        <v>0.66250000000000009</v>
      </c>
      <c r="T29" s="13">
        <f t="shared" si="29"/>
        <v>0.90500000000000003</v>
      </c>
      <c r="U29" s="14"/>
      <c r="V29" s="11">
        <f t="shared" si="29"/>
        <v>57.5</v>
      </c>
      <c r="W29" s="7"/>
      <c r="X29" s="12">
        <f t="shared" si="29"/>
        <v>0.875</v>
      </c>
      <c r="Y29" s="12">
        <f t="shared" si="29"/>
        <v>0.68500000000000005</v>
      </c>
      <c r="Z29" s="12">
        <f t="shared" si="29"/>
        <v>0.68500000000000005</v>
      </c>
      <c r="AA29" s="12">
        <f t="shared" si="29"/>
        <v>0.58499999999999996</v>
      </c>
      <c r="AB29" s="12">
        <f t="shared" si="29"/>
        <v>0.58499999999999996</v>
      </c>
      <c r="AC29" s="12">
        <f t="shared" si="29"/>
        <v>0.64</v>
      </c>
      <c r="AD29" s="12">
        <f t="shared" si="29"/>
        <v>0.64</v>
      </c>
      <c r="AE29" s="12">
        <f t="shared" si="29"/>
        <v>0.85</v>
      </c>
      <c r="AF29" s="12">
        <f t="shared" si="29"/>
        <v>0.85</v>
      </c>
      <c r="AG29" s="12">
        <f t="shared" si="29"/>
        <v>0.745</v>
      </c>
      <c r="AH29" s="12">
        <f t="shared" si="29"/>
        <v>0.61250000000000004</v>
      </c>
      <c r="AI29" s="12">
        <f t="shared" si="29"/>
        <v>0.63500000000000001</v>
      </c>
      <c r="AJ29" s="12">
        <f t="shared" si="29"/>
        <v>0.78</v>
      </c>
      <c r="AK29" s="12">
        <f t="shared" si="29"/>
        <v>0.78</v>
      </c>
      <c r="AL29" s="12">
        <f t="shared" si="29"/>
        <v>0.63500000000000001</v>
      </c>
      <c r="AM29" s="12">
        <f t="shared" si="29"/>
        <v>0.61250000000000004</v>
      </c>
      <c r="AN29" s="12">
        <f t="shared" si="29"/>
        <v>0.745</v>
      </c>
    </row>
    <row r="30" spans="2:44">
      <c r="B30" s="7">
        <v>60</v>
      </c>
      <c r="C30" s="8" t="s">
        <v>34</v>
      </c>
      <c r="D30" s="9" t="s">
        <v>81</v>
      </c>
      <c r="E30" s="9" t="s">
        <v>82</v>
      </c>
      <c r="F30" s="9" t="s">
        <v>82</v>
      </c>
      <c r="G30" s="9" t="s">
        <v>83</v>
      </c>
      <c r="H30" s="9" t="s">
        <v>83</v>
      </c>
      <c r="I30" s="9" t="s">
        <v>60</v>
      </c>
      <c r="J30" s="9" t="s">
        <v>60</v>
      </c>
      <c r="K30" s="9" t="s">
        <v>35</v>
      </c>
      <c r="L30" s="9" t="str">
        <f t="shared" si="1"/>
        <v>1,00</v>
      </c>
      <c r="M30" s="9">
        <f t="shared" si="2"/>
        <v>0.90500000000000003</v>
      </c>
      <c r="N30" s="9">
        <f t="shared" si="3"/>
        <v>0.66</v>
      </c>
      <c r="O30" s="9">
        <f t="shared" si="4"/>
        <v>0.44</v>
      </c>
      <c r="P30" s="9">
        <f t="shared" si="5"/>
        <v>0.34499999999999997</v>
      </c>
      <c r="Q30" s="9">
        <f t="shared" si="6"/>
        <v>0.34499999999999997</v>
      </c>
      <c r="R30" s="9">
        <f t="shared" si="7"/>
        <v>0.44</v>
      </c>
      <c r="S30" s="9">
        <f t="shared" si="8"/>
        <v>0.66</v>
      </c>
      <c r="T30" s="10">
        <f t="shared" si="9"/>
        <v>0.90500000000000003</v>
      </c>
      <c r="U30" s="2"/>
      <c r="V30" s="11">
        <v>60</v>
      </c>
      <c r="W30" s="8" t="s">
        <v>36</v>
      </c>
      <c r="X30" s="9" t="s">
        <v>46</v>
      </c>
      <c r="Y30" s="9" t="s">
        <v>76</v>
      </c>
      <c r="Z30" s="9" t="s">
        <v>76</v>
      </c>
      <c r="AA30" s="9" t="s">
        <v>67</v>
      </c>
      <c r="AB30" s="9" t="s">
        <v>67</v>
      </c>
      <c r="AC30" s="9" t="s">
        <v>75</v>
      </c>
      <c r="AD30" s="9" t="s">
        <v>75</v>
      </c>
      <c r="AE30" s="9" t="s">
        <v>59</v>
      </c>
      <c r="AF30" s="9" t="str">
        <f t="shared" si="10"/>
        <v>0,85</v>
      </c>
      <c r="AG30" s="9">
        <f t="shared" si="11"/>
        <v>0.74</v>
      </c>
      <c r="AH30" s="9">
        <f t="shared" si="12"/>
        <v>0.6</v>
      </c>
      <c r="AI30" s="9">
        <f t="shared" si="13"/>
        <v>0.62</v>
      </c>
      <c r="AJ30" s="9">
        <f t="shared" si="14"/>
        <v>0.76500000000000001</v>
      </c>
      <c r="AK30" s="9">
        <f t="shared" si="15"/>
        <v>0.76500000000000001</v>
      </c>
      <c r="AL30" s="9">
        <f t="shared" si="16"/>
        <v>0.62</v>
      </c>
      <c r="AM30" s="9">
        <f t="shared" si="17"/>
        <v>0.6</v>
      </c>
      <c r="AN30" s="9">
        <f t="shared" si="18"/>
        <v>0.74</v>
      </c>
    </row>
    <row r="31" spans="2:44">
      <c r="B31" s="7">
        <f>0.5*(B30+B32)</f>
        <v>62.5</v>
      </c>
      <c r="C31" s="7"/>
      <c r="D31" s="12">
        <f t="shared" ref="D31:AN31" si="30">0.5*(D30+D32)</f>
        <v>0.32</v>
      </c>
      <c r="E31" s="12">
        <f t="shared" si="30"/>
        <v>0.36499999999999999</v>
      </c>
      <c r="F31" s="12">
        <f t="shared" si="30"/>
        <v>0.36499999999999999</v>
      </c>
      <c r="G31" s="12">
        <f t="shared" si="30"/>
        <v>0.505</v>
      </c>
      <c r="H31" s="12">
        <f t="shared" si="30"/>
        <v>0.505</v>
      </c>
      <c r="I31" s="12">
        <f t="shared" si="30"/>
        <v>0.81</v>
      </c>
      <c r="J31" s="12">
        <f t="shared" si="30"/>
        <v>0.81</v>
      </c>
      <c r="K31" s="12">
        <f t="shared" si="30"/>
        <v>1</v>
      </c>
      <c r="L31" s="12">
        <f t="shared" si="30"/>
        <v>1</v>
      </c>
      <c r="M31" s="12">
        <f t="shared" si="30"/>
        <v>0.90500000000000003</v>
      </c>
      <c r="N31" s="12">
        <f t="shared" si="30"/>
        <v>0.65749999999999997</v>
      </c>
      <c r="O31" s="12">
        <f t="shared" si="30"/>
        <v>0.435</v>
      </c>
      <c r="P31" s="12">
        <f t="shared" si="30"/>
        <v>0.34249999999999997</v>
      </c>
      <c r="Q31" s="12">
        <f t="shared" si="30"/>
        <v>0.34249999999999997</v>
      </c>
      <c r="R31" s="12">
        <f t="shared" si="30"/>
        <v>0.435</v>
      </c>
      <c r="S31" s="12">
        <f t="shared" si="30"/>
        <v>0.65749999999999997</v>
      </c>
      <c r="T31" s="13">
        <f t="shared" si="30"/>
        <v>0.90500000000000003</v>
      </c>
      <c r="U31" s="14"/>
      <c r="V31" s="11">
        <f t="shared" si="30"/>
        <v>62.5</v>
      </c>
      <c r="W31" s="7"/>
      <c r="X31" s="12">
        <f t="shared" si="30"/>
        <v>0.82499999999999996</v>
      </c>
      <c r="Y31" s="12">
        <f t="shared" si="30"/>
        <v>0.65</v>
      </c>
      <c r="Z31" s="12">
        <f t="shared" si="30"/>
        <v>0.65</v>
      </c>
      <c r="AA31" s="12">
        <f t="shared" si="30"/>
        <v>0.56000000000000005</v>
      </c>
      <c r="AB31" s="12">
        <f t="shared" si="30"/>
        <v>0.56000000000000005</v>
      </c>
      <c r="AC31" s="12">
        <f t="shared" si="30"/>
        <v>0.63</v>
      </c>
      <c r="AD31" s="12">
        <f t="shared" si="30"/>
        <v>0.63</v>
      </c>
      <c r="AE31" s="12">
        <f t="shared" si="30"/>
        <v>0.85</v>
      </c>
      <c r="AF31" s="12">
        <f t="shared" si="30"/>
        <v>0.85</v>
      </c>
      <c r="AG31" s="12">
        <f t="shared" si="30"/>
        <v>0.74</v>
      </c>
      <c r="AH31" s="12">
        <f t="shared" si="30"/>
        <v>0.59499999999999997</v>
      </c>
      <c r="AI31" s="12">
        <f t="shared" si="30"/>
        <v>0.60499999999999998</v>
      </c>
      <c r="AJ31" s="12">
        <f t="shared" si="30"/>
        <v>0.73750000000000004</v>
      </c>
      <c r="AK31" s="12">
        <f t="shared" si="30"/>
        <v>0.73750000000000004</v>
      </c>
      <c r="AL31" s="12">
        <f t="shared" si="30"/>
        <v>0.60499999999999998</v>
      </c>
      <c r="AM31" s="12">
        <f t="shared" si="30"/>
        <v>0.59499999999999997</v>
      </c>
      <c r="AN31" s="12">
        <f t="shared" si="30"/>
        <v>0.74</v>
      </c>
    </row>
    <row r="32" spans="2:44">
      <c r="B32" s="7">
        <v>65</v>
      </c>
      <c r="C32" s="8" t="s">
        <v>34</v>
      </c>
      <c r="D32" s="9" t="s">
        <v>81</v>
      </c>
      <c r="E32" s="9" t="s">
        <v>73</v>
      </c>
      <c r="F32" s="9" t="s">
        <v>73</v>
      </c>
      <c r="G32" s="9" t="s">
        <v>84</v>
      </c>
      <c r="H32" s="9" t="s">
        <v>84</v>
      </c>
      <c r="I32" s="9" t="s">
        <v>60</v>
      </c>
      <c r="J32" s="9" t="s">
        <v>60</v>
      </c>
      <c r="K32" s="9" t="s">
        <v>35</v>
      </c>
      <c r="L32" s="9" t="str">
        <f t="shared" si="1"/>
        <v>1,00</v>
      </c>
      <c r="M32" s="9">
        <f t="shared" si="2"/>
        <v>0.90500000000000003</v>
      </c>
      <c r="N32" s="9">
        <f t="shared" si="3"/>
        <v>0.65500000000000003</v>
      </c>
      <c r="O32" s="9">
        <f t="shared" si="4"/>
        <v>0.43</v>
      </c>
      <c r="P32" s="9">
        <f t="shared" si="5"/>
        <v>0.33999999999999997</v>
      </c>
      <c r="Q32" s="9">
        <f t="shared" si="6"/>
        <v>0.33999999999999997</v>
      </c>
      <c r="R32" s="9">
        <f t="shared" si="7"/>
        <v>0.43</v>
      </c>
      <c r="S32" s="9">
        <f t="shared" si="8"/>
        <v>0.65500000000000003</v>
      </c>
      <c r="T32" s="10">
        <f t="shared" si="9"/>
        <v>0.90500000000000003</v>
      </c>
      <c r="U32" s="2"/>
      <c r="V32" s="11">
        <v>65</v>
      </c>
      <c r="W32" s="8" t="s">
        <v>36</v>
      </c>
      <c r="X32" s="9" t="s">
        <v>85</v>
      </c>
      <c r="Y32" s="9" t="s">
        <v>75</v>
      </c>
      <c r="Z32" s="9" t="s">
        <v>75</v>
      </c>
      <c r="AA32" s="9" t="s">
        <v>69</v>
      </c>
      <c r="AB32" s="9" t="s">
        <v>69</v>
      </c>
      <c r="AC32" s="9" t="s">
        <v>75</v>
      </c>
      <c r="AD32" s="9" t="s">
        <v>75</v>
      </c>
      <c r="AE32" s="9" t="s">
        <v>59</v>
      </c>
      <c r="AF32" s="9" t="str">
        <f t="shared" si="10"/>
        <v>0,85</v>
      </c>
      <c r="AG32" s="9">
        <f t="shared" si="11"/>
        <v>0.74</v>
      </c>
      <c r="AH32" s="9">
        <f t="shared" si="12"/>
        <v>0.59000000000000008</v>
      </c>
      <c r="AI32" s="9">
        <f t="shared" si="13"/>
        <v>0.59000000000000008</v>
      </c>
      <c r="AJ32" s="9">
        <f t="shared" si="14"/>
        <v>0.71</v>
      </c>
      <c r="AK32" s="9">
        <f t="shared" si="15"/>
        <v>0.71</v>
      </c>
      <c r="AL32" s="9">
        <f t="shared" si="16"/>
        <v>0.59000000000000008</v>
      </c>
      <c r="AM32" s="9">
        <f t="shared" si="17"/>
        <v>0.59000000000000008</v>
      </c>
      <c r="AN32" s="9">
        <f t="shared" si="18"/>
        <v>0.74</v>
      </c>
    </row>
    <row r="33" spans="2:40">
      <c r="B33" s="7">
        <f>0.5*(B32+B34)</f>
        <v>67.5</v>
      </c>
      <c r="C33" s="7"/>
      <c r="D33" s="12">
        <f t="shared" ref="D33:AN33" si="31">0.5*(D32+D34)</f>
        <v>0.315</v>
      </c>
      <c r="E33" s="12">
        <f t="shared" si="31"/>
        <v>0.36</v>
      </c>
      <c r="F33" s="12">
        <f t="shared" si="31"/>
        <v>0.36</v>
      </c>
      <c r="G33" s="12">
        <f t="shared" si="31"/>
        <v>0.5</v>
      </c>
      <c r="H33" s="12">
        <f t="shared" si="31"/>
        <v>0.5</v>
      </c>
      <c r="I33" s="12">
        <f t="shared" si="31"/>
        <v>0.81</v>
      </c>
      <c r="J33" s="12">
        <f t="shared" si="31"/>
        <v>0.81</v>
      </c>
      <c r="K33" s="12">
        <f t="shared" si="31"/>
        <v>1</v>
      </c>
      <c r="L33" s="12">
        <f t="shared" si="31"/>
        <v>1</v>
      </c>
      <c r="M33" s="12">
        <f t="shared" si="31"/>
        <v>0.90500000000000003</v>
      </c>
      <c r="N33" s="12">
        <f t="shared" si="31"/>
        <v>0.65500000000000003</v>
      </c>
      <c r="O33" s="12">
        <f t="shared" si="31"/>
        <v>0.43</v>
      </c>
      <c r="P33" s="12">
        <f t="shared" si="31"/>
        <v>0.33749999999999997</v>
      </c>
      <c r="Q33" s="12">
        <f t="shared" si="31"/>
        <v>0.33749999999999997</v>
      </c>
      <c r="R33" s="12">
        <f t="shared" si="31"/>
        <v>0.43</v>
      </c>
      <c r="S33" s="12">
        <f t="shared" si="31"/>
        <v>0.65500000000000003</v>
      </c>
      <c r="T33" s="13">
        <f t="shared" si="31"/>
        <v>0.90500000000000003</v>
      </c>
      <c r="U33" s="14"/>
      <c r="V33" s="11">
        <f t="shared" si="31"/>
        <v>67.5</v>
      </c>
      <c r="W33" s="7"/>
      <c r="X33" s="12">
        <f t="shared" si="31"/>
        <v>0.76</v>
      </c>
      <c r="Y33" s="12">
        <f t="shared" si="31"/>
        <v>0.60499999999999998</v>
      </c>
      <c r="Z33" s="12">
        <f t="shared" si="31"/>
        <v>0.60499999999999998</v>
      </c>
      <c r="AA33" s="12">
        <f t="shared" si="31"/>
        <v>0.53500000000000003</v>
      </c>
      <c r="AB33" s="12">
        <f t="shared" si="31"/>
        <v>0.53500000000000003</v>
      </c>
      <c r="AC33" s="12">
        <f t="shared" si="31"/>
        <v>0.625</v>
      </c>
      <c r="AD33" s="12">
        <f t="shared" si="31"/>
        <v>0.625</v>
      </c>
      <c r="AE33" s="12">
        <f t="shared" si="31"/>
        <v>0.85</v>
      </c>
      <c r="AF33" s="12">
        <f t="shared" si="31"/>
        <v>0.85</v>
      </c>
      <c r="AG33" s="12">
        <f t="shared" si="31"/>
        <v>0.73750000000000004</v>
      </c>
      <c r="AH33" s="12">
        <f t="shared" si="31"/>
        <v>0.58000000000000007</v>
      </c>
      <c r="AI33" s="12">
        <f t="shared" si="31"/>
        <v>0.57000000000000006</v>
      </c>
      <c r="AJ33" s="12">
        <f t="shared" si="31"/>
        <v>0.6825</v>
      </c>
      <c r="AK33" s="12">
        <f t="shared" si="31"/>
        <v>0.6825</v>
      </c>
      <c r="AL33" s="12">
        <f t="shared" si="31"/>
        <v>0.57000000000000006</v>
      </c>
      <c r="AM33" s="12">
        <f t="shared" si="31"/>
        <v>0.58000000000000007</v>
      </c>
      <c r="AN33" s="12">
        <f t="shared" si="31"/>
        <v>0.73750000000000004</v>
      </c>
    </row>
    <row r="34" spans="2:40">
      <c r="B34" s="7">
        <v>70</v>
      </c>
      <c r="C34" s="8" t="s">
        <v>34</v>
      </c>
      <c r="D34" s="9" t="s">
        <v>86</v>
      </c>
      <c r="E34" s="9" t="s">
        <v>73</v>
      </c>
      <c r="F34" s="9" t="s">
        <v>73</v>
      </c>
      <c r="G34" s="9" t="s">
        <v>84</v>
      </c>
      <c r="H34" s="9" t="s">
        <v>84</v>
      </c>
      <c r="I34" s="9" t="s">
        <v>60</v>
      </c>
      <c r="J34" s="9" t="s">
        <v>60</v>
      </c>
      <c r="K34" s="9" t="s">
        <v>35</v>
      </c>
      <c r="L34" s="9" t="str">
        <f t="shared" si="1"/>
        <v>1,00</v>
      </c>
      <c r="M34" s="9">
        <f t="shared" si="2"/>
        <v>0.90500000000000003</v>
      </c>
      <c r="N34" s="9">
        <f t="shared" si="3"/>
        <v>0.65500000000000003</v>
      </c>
      <c r="O34" s="9">
        <f t="shared" si="4"/>
        <v>0.43</v>
      </c>
      <c r="P34" s="9">
        <f t="shared" si="5"/>
        <v>0.33499999999999996</v>
      </c>
      <c r="Q34" s="9">
        <f t="shared" si="6"/>
        <v>0.33499999999999996</v>
      </c>
      <c r="R34" s="9">
        <f t="shared" si="7"/>
        <v>0.43</v>
      </c>
      <c r="S34" s="9">
        <f t="shared" si="8"/>
        <v>0.65500000000000003</v>
      </c>
      <c r="T34" s="10">
        <f t="shared" si="9"/>
        <v>0.90500000000000003</v>
      </c>
      <c r="U34" s="2"/>
      <c r="V34" s="11">
        <v>70</v>
      </c>
      <c r="W34" s="8" t="s">
        <v>36</v>
      </c>
      <c r="X34" s="9" t="s">
        <v>52</v>
      </c>
      <c r="Y34" s="9" t="s">
        <v>87</v>
      </c>
      <c r="Z34" s="9" t="s">
        <v>87</v>
      </c>
      <c r="AA34" s="9" t="s">
        <v>79</v>
      </c>
      <c r="AB34" s="9" t="s">
        <v>79</v>
      </c>
      <c r="AC34" s="9" t="s">
        <v>57</v>
      </c>
      <c r="AD34" s="9" t="s">
        <v>57</v>
      </c>
      <c r="AE34" s="9" t="s">
        <v>59</v>
      </c>
      <c r="AF34" s="9" t="str">
        <f t="shared" si="10"/>
        <v>0,85</v>
      </c>
      <c r="AG34" s="9">
        <f t="shared" si="11"/>
        <v>0.73499999999999999</v>
      </c>
      <c r="AH34" s="9">
        <f t="shared" si="12"/>
        <v>0.57000000000000006</v>
      </c>
      <c r="AI34" s="9">
        <f t="shared" si="13"/>
        <v>0.55000000000000004</v>
      </c>
      <c r="AJ34" s="9">
        <f t="shared" si="14"/>
        <v>0.65500000000000003</v>
      </c>
      <c r="AK34" s="9">
        <f t="shared" si="15"/>
        <v>0.65500000000000003</v>
      </c>
      <c r="AL34" s="9">
        <f t="shared" si="16"/>
        <v>0.55000000000000004</v>
      </c>
      <c r="AM34" s="9">
        <f t="shared" si="17"/>
        <v>0.57000000000000006</v>
      </c>
      <c r="AN34" s="9">
        <f t="shared" si="18"/>
        <v>0.73499999999999999</v>
      </c>
    </row>
    <row r="35" spans="2:40">
      <c r="B35" s="7">
        <f>0.5*(B34+B36)</f>
        <v>72.5</v>
      </c>
      <c r="C35" s="7"/>
      <c r="D35" s="12">
        <f t="shared" ref="D35:AN35" si="32">0.5*(D34+D36)</f>
        <v>0.31</v>
      </c>
      <c r="E35" s="12">
        <f t="shared" si="32"/>
        <v>0.36</v>
      </c>
      <c r="F35" s="12">
        <f t="shared" si="32"/>
        <v>0.36</v>
      </c>
      <c r="G35" s="12">
        <f t="shared" si="32"/>
        <v>0.5</v>
      </c>
      <c r="H35" s="12">
        <f t="shared" si="32"/>
        <v>0.5</v>
      </c>
      <c r="I35" s="12">
        <f t="shared" si="32"/>
        <v>0.81</v>
      </c>
      <c r="J35" s="12">
        <f t="shared" si="32"/>
        <v>0.81</v>
      </c>
      <c r="K35" s="12">
        <f t="shared" si="32"/>
        <v>1</v>
      </c>
      <c r="L35" s="12">
        <f t="shared" si="32"/>
        <v>1</v>
      </c>
      <c r="M35" s="12">
        <f t="shared" si="32"/>
        <v>0.90500000000000003</v>
      </c>
      <c r="N35" s="12">
        <f t="shared" si="32"/>
        <v>0.65500000000000003</v>
      </c>
      <c r="O35" s="12">
        <f t="shared" si="32"/>
        <v>0.43</v>
      </c>
      <c r="P35" s="12">
        <f t="shared" si="32"/>
        <v>0.33499999999999996</v>
      </c>
      <c r="Q35" s="12">
        <f t="shared" si="32"/>
        <v>0.33499999999999996</v>
      </c>
      <c r="R35" s="12">
        <f t="shared" si="32"/>
        <v>0.43</v>
      </c>
      <c r="S35" s="12">
        <f t="shared" si="32"/>
        <v>0.65500000000000003</v>
      </c>
      <c r="T35" s="13">
        <f t="shared" si="32"/>
        <v>0.90500000000000003</v>
      </c>
      <c r="U35" s="14"/>
      <c r="V35" s="11">
        <f t="shared" si="32"/>
        <v>72.5</v>
      </c>
      <c r="W35" s="7"/>
      <c r="X35" s="12">
        <f t="shared" si="32"/>
        <v>0.73</v>
      </c>
      <c r="Y35" s="12">
        <f t="shared" si="32"/>
        <v>0.57999999999999996</v>
      </c>
      <c r="Z35" s="12">
        <f t="shared" si="32"/>
        <v>0.57999999999999996</v>
      </c>
      <c r="AA35" s="12">
        <f t="shared" si="32"/>
        <v>0.52</v>
      </c>
      <c r="AB35" s="12">
        <f t="shared" si="32"/>
        <v>0.52</v>
      </c>
      <c r="AC35" s="12">
        <f t="shared" si="32"/>
        <v>0.62</v>
      </c>
      <c r="AD35" s="12">
        <f t="shared" si="32"/>
        <v>0.62</v>
      </c>
      <c r="AE35" s="12">
        <f t="shared" si="32"/>
        <v>0.85</v>
      </c>
      <c r="AF35" s="12">
        <f t="shared" si="32"/>
        <v>0.85</v>
      </c>
      <c r="AG35" s="12">
        <f t="shared" si="32"/>
        <v>0.73499999999999999</v>
      </c>
      <c r="AH35" s="12">
        <f t="shared" si="32"/>
        <v>0.57000000000000006</v>
      </c>
      <c r="AI35" s="12">
        <f t="shared" si="32"/>
        <v>0.55000000000000004</v>
      </c>
      <c r="AJ35" s="12">
        <f t="shared" si="32"/>
        <v>0.65500000000000003</v>
      </c>
      <c r="AK35" s="12">
        <f t="shared" si="32"/>
        <v>0.65500000000000003</v>
      </c>
      <c r="AL35" s="12">
        <f t="shared" si="32"/>
        <v>0.55000000000000004</v>
      </c>
      <c r="AM35" s="12">
        <f t="shared" si="32"/>
        <v>0.57000000000000006</v>
      </c>
      <c r="AN35" s="12">
        <f t="shared" si="32"/>
        <v>0.73499999999999999</v>
      </c>
    </row>
    <row r="36" spans="2:40">
      <c r="B36" s="7">
        <v>75</v>
      </c>
      <c r="C36" s="8" t="s">
        <v>34</v>
      </c>
      <c r="D36" s="9" t="s">
        <v>86</v>
      </c>
      <c r="E36" s="9" t="s">
        <v>73</v>
      </c>
      <c r="F36" s="9" t="s">
        <v>73</v>
      </c>
      <c r="G36" s="9" t="s">
        <v>84</v>
      </c>
      <c r="H36" s="9" t="s">
        <v>84</v>
      </c>
      <c r="I36" s="9" t="s">
        <v>60</v>
      </c>
      <c r="J36" s="9" t="s">
        <v>60</v>
      </c>
      <c r="K36" s="9" t="s">
        <v>35</v>
      </c>
      <c r="L36" s="9" t="str">
        <f t="shared" si="1"/>
        <v>1,00</v>
      </c>
      <c r="M36" s="9">
        <f t="shared" si="2"/>
        <v>0.90500000000000003</v>
      </c>
      <c r="N36" s="9">
        <f t="shared" si="3"/>
        <v>0.65500000000000003</v>
      </c>
      <c r="O36" s="9">
        <f t="shared" si="4"/>
        <v>0.43</v>
      </c>
      <c r="P36" s="9">
        <f t="shared" si="5"/>
        <v>0.33499999999999996</v>
      </c>
      <c r="Q36" s="9">
        <f t="shared" si="6"/>
        <v>0.33499999999999996</v>
      </c>
      <c r="R36" s="9">
        <f t="shared" si="7"/>
        <v>0.43</v>
      </c>
      <c r="S36" s="9">
        <f t="shared" si="8"/>
        <v>0.65500000000000003</v>
      </c>
      <c r="T36" s="10">
        <f t="shared" si="9"/>
        <v>0.90500000000000003</v>
      </c>
      <c r="U36" s="2"/>
      <c r="V36" s="11">
        <v>75</v>
      </c>
      <c r="W36" s="8" t="s">
        <v>36</v>
      </c>
      <c r="X36" s="9" t="s">
        <v>52</v>
      </c>
      <c r="Y36" s="9" t="s">
        <v>87</v>
      </c>
      <c r="Z36" s="9" t="s">
        <v>87</v>
      </c>
      <c r="AA36" s="9" t="s">
        <v>79</v>
      </c>
      <c r="AB36" s="9" t="s">
        <v>79</v>
      </c>
      <c r="AC36" s="9" t="s">
        <v>57</v>
      </c>
      <c r="AD36" s="9" t="s">
        <v>57</v>
      </c>
      <c r="AE36" s="9" t="s">
        <v>59</v>
      </c>
      <c r="AF36" s="9" t="str">
        <f t="shared" si="10"/>
        <v>0,85</v>
      </c>
      <c r="AG36" s="9">
        <f t="shared" si="11"/>
        <v>0.73499999999999999</v>
      </c>
      <c r="AH36" s="9">
        <f t="shared" si="12"/>
        <v>0.57000000000000006</v>
      </c>
      <c r="AI36" s="9">
        <f t="shared" si="13"/>
        <v>0.55000000000000004</v>
      </c>
      <c r="AJ36" s="9">
        <f t="shared" si="14"/>
        <v>0.65500000000000003</v>
      </c>
      <c r="AK36" s="9">
        <f t="shared" si="15"/>
        <v>0.65500000000000003</v>
      </c>
      <c r="AL36" s="9">
        <f t="shared" si="16"/>
        <v>0.55000000000000004</v>
      </c>
      <c r="AM36" s="9">
        <f t="shared" si="17"/>
        <v>0.57000000000000006</v>
      </c>
      <c r="AN36" s="9">
        <f t="shared" si="18"/>
        <v>0.73499999999999999</v>
      </c>
    </row>
    <row r="37" spans="2:40">
      <c r="B37" s="7">
        <f>0.5*(B36+B38)</f>
        <v>77.5</v>
      </c>
      <c r="C37" s="7"/>
      <c r="D37" s="12">
        <f t="shared" ref="D37:AN37" si="33">0.5*(D36+D38)</f>
        <v>0.31</v>
      </c>
      <c r="E37" s="12">
        <f t="shared" si="33"/>
        <v>0.36</v>
      </c>
      <c r="F37" s="12">
        <f t="shared" si="33"/>
        <v>0.36</v>
      </c>
      <c r="G37" s="12">
        <f t="shared" si="33"/>
        <v>0.5</v>
      </c>
      <c r="H37" s="12">
        <f t="shared" si="33"/>
        <v>0.5</v>
      </c>
      <c r="I37" s="12">
        <f t="shared" si="33"/>
        <v>0.81</v>
      </c>
      <c r="J37" s="12">
        <f t="shared" si="33"/>
        <v>0.81</v>
      </c>
      <c r="K37" s="12">
        <f t="shared" si="33"/>
        <v>1</v>
      </c>
      <c r="L37" s="12">
        <f t="shared" si="33"/>
        <v>1</v>
      </c>
      <c r="M37" s="12">
        <f t="shared" si="33"/>
        <v>0.90500000000000003</v>
      </c>
      <c r="N37" s="12">
        <f t="shared" si="33"/>
        <v>0.65500000000000003</v>
      </c>
      <c r="O37" s="12">
        <f t="shared" si="33"/>
        <v>0.43</v>
      </c>
      <c r="P37" s="12">
        <f t="shared" si="33"/>
        <v>0.33499999999999996</v>
      </c>
      <c r="Q37" s="12">
        <f t="shared" si="33"/>
        <v>0.33499999999999996</v>
      </c>
      <c r="R37" s="12">
        <f t="shared" si="33"/>
        <v>0.43</v>
      </c>
      <c r="S37" s="12">
        <f t="shared" si="33"/>
        <v>0.65500000000000003</v>
      </c>
      <c r="T37" s="13">
        <f t="shared" si="33"/>
        <v>0.90500000000000003</v>
      </c>
      <c r="U37" s="14"/>
      <c r="V37" s="11">
        <f t="shared" si="33"/>
        <v>77.5</v>
      </c>
      <c r="W37" s="7"/>
      <c r="X37" s="12">
        <f t="shared" si="33"/>
        <v>0.73</v>
      </c>
      <c r="Y37" s="12">
        <f t="shared" si="33"/>
        <v>0.57999999999999996</v>
      </c>
      <c r="Z37" s="12">
        <f t="shared" si="33"/>
        <v>0.57999999999999996</v>
      </c>
      <c r="AA37" s="12">
        <f t="shared" si="33"/>
        <v>0.52</v>
      </c>
      <c r="AB37" s="12">
        <f t="shared" si="33"/>
        <v>0.52</v>
      </c>
      <c r="AC37" s="12">
        <f t="shared" si="33"/>
        <v>0.62</v>
      </c>
      <c r="AD37" s="12">
        <f t="shared" si="33"/>
        <v>0.62</v>
      </c>
      <c r="AE37" s="12">
        <f t="shared" si="33"/>
        <v>0.85</v>
      </c>
      <c r="AF37" s="12">
        <f t="shared" si="33"/>
        <v>0.85</v>
      </c>
      <c r="AG37" s="12">
        <f t="shared" si="33"/>
        <v>0.73499999999999999</v>
      </c>
      <c r="AH37" s="12">
        <f t="shared" si="33"/>
        <v>0.57000000000000006</v>
      </c>
      <c r="AI37" s="12">
        <f t="shared" si="33"/>
        <v>0.55000000000000004</v>
      </c>
      <c r="AJ37" s="12">
        <f t="shared" si="33"/>
        <v>0.65500000000000003</v>
      </c>
      <c r="AK37" s="12">
        <f t="shared" si="33"/>
        <v>0.65500000000000003</v>
      </c>
      <c r="AL37" s="12">
        <f t="shared" si="33"/>
        <v>0.55000000000000004</v>
      </c>
      <c r="AM37" s="12">
        <f t="shared" si="33"/>
        <v>0.57000000000000006</v>
      </c>
      <c r="AN37" s="12">
        <f t="shared" si="33"/>
        <v>0.73499999999999999</v>
      </c>
    </row>
    <row r="38" spans="2:40">
      <c r="B38" s="7">
        <v>80</v>
      </c>
      <c r="C38" s="8" t="s">
        <v>34</v>
      </c>
      <c r="D38" s="9" t="s">
        <v>86</v>
      </c>
      <c r="E38" s="9" t="s">
        <v>73</v>
      </c>
      <c r="F38" s="9" t="s">
        <v>73</v>
      </c>
      <c r="G38" s="9" t="s">
        <v>84</v>
      </c>
      <c r="H38" s="9" t="s">
        <v>84</v>
      </c>
      <c r="I38" s="9" t="s">
        <v>60</v>
      </c>
      <c r="J38" s="9" t="s">
        <v>60</v>
      </c>
      <c r="K38" s="9" t="s">
        <v>35</v>
      </c>
      <c r="L38" s="9" t="str">
        <f t="shared" si="1"/>
        <v>1,00</v>
      </c>
      <c r="M38" s="9">
        <f t="shared" si="2"/>
        <v>0.90500000000000003</v>
      </c>
      <c r="N38" s="9">
        <f t="shared" si="3"/>
        <v>0.65500000000000003</v>
      </c>
      <c r="O38" s="9">
        <f t="shared" si="4"/>
        <v>0.43</v>
      </c>
      <c r="P38" s="9">
        <f t="shared" si="5"/>
        <v>0.33499999999999996</v>
      </c>
      <c r="Q38" s="9">
        <f t="shared" si="6"/>
        <v>0.33499999999999996</v>
      </c>
      <c r="R38" s="9">
        <f t="shared" si="7"/>
        <v>0.43</v>
      </c>
      <c r="S38" s="9">
        <f t="shared" si="8"/>
        <v>0.65500000000000003</v>
      </c>
      <c r="T38" s="10">
        <f t="shared" si="9"/>
        <v>0.90500000000000003</v>
      </c>
      <c r="U38" s="2"/>
      <c r="V38" s="11">
        <v>80</v>
      </c>
      <c r="W38" s="8" t="s">
        <v>36</v>
      </c>
      <c r="X38" s="9" t="s">
        <v>52</v>
      </c>
      <c r="Y38" s="9" t="s">
        <v>87</v>
      </c>
      <c r="Z38" s="9" t="s">
        <v>87</v>
      </c>
      <c r="AA38" s="9" t="s">
        <v>79</v>
      </c>
      <c r="AB38" s="9" t="s">
        <v>79</v>
      </c>
      <c r="AC38" s="9" t="s">
        <v>57</v>
      </c>
      <c r="AD38" s="9" t="s">
        <v>57</v>
      </c>
      <c r="AE38" s="9" t="s">
        <v>59</v>
      </c>
      <c r="AF38" s="9" t="str">
        <f t="shared" si="10"/>
        <v>0,85</v>
      </c>
      <c r="AG38" s="9">
        <f t="shared" si="11"/>
        <v>0.73499999999999999</v>
      </c>
      <c r="AH38" s="9">
        <f t="shared" si="12"/>
        <v>0.57000000000000006</v>
      </c>
      <c r="AI38" s="9">
        <f t="shared" si="13"/>
        <v>0.55000000000000004</v>
      </c>
      <c r="AJ38" s="9">
        <f t="shared" si="14"/>
        <v>0.65500000000000003</v>
      </c>
      <c r="AK38" s="9">
        <f t="shared" si="15"/>
        <v>0.65500000000000003</v>
      </c>
      <c r="AL38" s="9">
        <f t="shared" si="16"/>
        <v>0.55000000000000004</v>
      </c>
      <c r="AM38" s="9">
        <f t="shared" si="17"/>
        <v>0.57000000000000006</v>
      </c>
      <c r="AN38" s="9">
        <f t="shared" si="18"/>
        <v>0.73499999999999999</v>
      </c>
    </row>
    <row r="39" spans="2:40">
      <c r="B39" s="7">
        <f>0.5*(B38+B40)</f>
        <v>82.5</v>
      </c>
      <c r="C39" s="7"/>
      <c r="D39" s="12">
        <f t="shared" ref="D39:AN39" si="34">0.5*(D38+D40)</f>
        <v>0.31</v>
      </c>
      <c r="E39" s="12">
        <f t="shared" si="34"/>
        <v>0.36</v>
      </c>
      <c r="F39" s="12">
        <f t="shared" si="34"/>
        <v>0.36</v>
      </c>
      <c r="G39" s="12">
        <f t="shared" si="34"/>
        <v>0.5</v>
      </c>
      <c r="H39" s="12">
        <f t="shared" si="34"/>
        <v>0.5</v>
      </c>
      <c r="I39" s="12">
        <f t="shared" si="34"/>
        <v>0.81</v>
      </c>
      <c r="J39" s="12">
        <f t="shared" si="34"/>
        <v>0.81</v>
      </c>
      <c r="K39" s="12">
        <f t="shared" si="34"/>
        <v>1</v>
      </c>
      <c r="L39" s="12">
        <f t="shared" si="34"/>
        <v>1</v>
      </c>
      <c r="M39" s="12">
        <f t="shared" si="34"/>
        <v>0.90500000000000003</v>
      </c>
      <c r="N39" s="12">
        <f t="shared" si="34"/>
        <v>0.65500000000000003</v>
      </c>
      <c r="O39" s="12">
        <f t="shared" si="34"/>
        <v>0.43</v>
      </c>
      <c r="P39" s="12">
        <f t="shared" si="34"/>
        <v>0.33499999999999996</v>
      </c>
      <c r="Q39" s="12">
        <f t="shared" si="34"/>
        <v>0.33499999999999996</v>
      </c>
      <c r="R39" s="12">
        <f t="shared" si="34"/>
        <v>0.43</v>
      </c>
      <c r="S39" s="12">
        <f t="shared" si="34"/>
        <v>0.65500000000000003</v>
      </c>
      <c r="T39" s="13">
        <f t="shared" si="34"/>
        <v>0.90500000000000003</v>
      </c>
      <c r="U39" s="14"/>
      <c r="V39" s="11">
        <f t="shared" si="34"/>
        <v>82.5</v>
      </c>
      <c r="W39" s="7"/>
      <c r="X39" s="12">
        <f t="shared" si="34"/>
        <v>0.73</v>
      </c>
      <c r="Y39" s="12">
        <f t="shared" si="34"/>
        <v>0.57999999999999996</v>
      </c>
      <c r="Z39" s="12">
        <f t="shared" si="34"/>
        <v>0.57999999999999996</v>
      </c>
      <c r="AA39" s="12">
        <f t="shared" si="34"/>
        <v>0.52</v>
      </c>
      <c r="AB39" s="12">
        <f t="shared" si="34"/>
        <v>0.52</v>
      </c>
      <c r="AC39" s="12">
        <f t="shared" si="34"/>
        <v>0.62</v>
      </c>
      <c r="AD39" s="12">
        <f t="shared" si="34"/>
        <v>0.62</v>
      </c>
      <c r="AE39" s="12">
        <f t="shared" si="34"/>
        <v>0.85</v>
      </c>
      <c r="AF39" s="12">
        <f t="shared" si="34"/>
        <v>0.85</v>
      </c>
      <c r="AG39" s="12">
        <f t="shared" si="34"/>
        <v>0.73499999999999999</v>
      </c>
      <c r="AH39" s="12">
        <f t="shared" si="34"/>
        <v>0.57000000000000006</v>
      </c>
      <c r="AI39" s="12">
        <f t="shared" si="34"/>
        <v>0.55000000000000004</v>
      </c>
      <c r="AJ39" s="12">
        <f t="shared" si="34"/>
        <v>0.65500000000000003</v>
      </c>
      <c r="AK39" s="12">
        <f t="shared" si="34"/>
        <v>0.65500000000000003</v>
      </c>
      <c r="AL39" s="12">
        <f t="shared" si="34"/>
        <v>0.55000000000000004</v>
      </c>
      <c r="AM39" s="12">
        <f t="shared" si="34"/>
        <v>0.57000000000000006</v>
      </c>
      <c r="AN39" s="12">
        <f t="shared" si="34"/>
        <v>0.73499999999999999</v>
      </c>
    </row>
    <row r="40" spans="2:40">
      <c r="B40" s="7">
        <v>85</v>
      </c>
      <c r="C40" s="8" t="s">
        <v>34</v>
      </c>
      <c r="D40" s="9" t="s">
        <v>86</v>
      </c>
      <c r="E40" s="9" t="s">
        <v>73</v>
      </c>
      <c r="F40" s="9" t="s">
        <v>73</v>
      </c>
      <c r="G40" s="9" t="s">
        <v>84</v>
      </c>
      <c r="H40" s="9" t="s">
        <v>84</v>
      </c>
      <c r="I40" s="9" t="s">
        <v>60</v>
      </c>
      <c r="J40" s="9" t="s">
        <v>60</v>
      </c>
      <c r="K40" s="9" t="s">
        <v>35</v>
      </c>
      <c r="L40" s="9" t="str">
        <f t="shared" si="1"/>
        <v>1,00</v>
      </c>
      <c r="M40" s="9">
        <f t="shared" si="2"/>
        <v>0.90500000000000003</v>
      </c>
      <c r="N40" s="9">
        <f t="shared" si="3"/>
        <v>0.65500000000000003</v>
      </c>
      <c r="O40" s="9">
        <f t="shared" si="4"/>
        <v>0.43</v>
      </c>
      <c r="P40" s="9">
        <f t="shared" si="5"/>
        <v>0.33499999999999996</v>
      </c>
      <c r="Q40" s="9">
        <f t="shared" si="6"/>
        <v>0.33499999999999996</v>
      </c>
      <c r="R40" s="9">
        <f t="shared" si="7"/>
        <v>0.43</v>
      </c>
      <c r="S40" s="9">
        <f t="shared" si="8"/>
        <v>0.65500000000000003</v>
      </c>
      <c r="T40" s="10">
        <f t="shared" si="9"/>
        <v>0.90500000000000003</v>
      </c>
      <c r="U40" s="2"/>
      <c r="V40" s="11">
        <v>85</v>
      </c>
      <c r="W40" s="8" t="s">
        <v>36</v>
      </c>
      <c r="X40" s="9" t="s">
        <v>52</v>
      </c>
      <c r="Y40" s="9" t="s">
        <v>87</v>
      </c>
      <c r="Z40" s="9" t="s">
        <v>87</v>
      </c>
      <c r="AA40" s="9" t="s">
        <v>79</v>
      </c>
      <c r="AB40" s="9" t="s">
        <v>79</v>
      </c>
      <c r="AC40" s="9" t="s">
        <v>57</v>
      </c>
      <c r="AD40" s="9" t="s">
        <v>57</v>
      </c>
      <c r="AE40" s="9" t="s">
        <v>59</v>
      </c>
      <c r="AF40" s="9" t="str">
        <f t="shared" si="10"/>
        <v>0,85</v>
      </c>
      <c r="AG40" s="9">
        <f t="shared" si="11"/>
        <v>0.73499999999999999</v>
      </c>
      <c r="AH40" s="9">
        <f t="shared" si="12"/>
        <v>0.57000000000000006</v>
      </c>
      <c r="AI40" s="9">
        <f t="shared" si="13"/>
        <v>0.55000000000000004</v>
      </c>
      <c r="AJ40" s="9">
        <f t="shared" si="14"/>
        <v>0.65500000000000003</v>
      </c>
      <c r="AK40" s="9">
        <f t="shared" si="15"/>
        <v>0.65500000000000003</v>
      </c>
      <c r="AL40" s="9">
        <f t="shared" si="16"/>
        <v>0.55000000000000004</v>
      </c>
      <c r="AM40" s="9">
        <f t="shared" si="17"/>
        <v>0.57000000000000006</v>
      </c>
      <c r="AN40" s="9">
        <f t="shared" si="18"/>
        <v>0.73499999999999999</v>
      </c>
    </row>
    <row r="41" spans="2:40">
      <c r="B41" s="7">
        <f>0.5*(B40+B42)</f>
        <v>87.5</v>
      </c>
      <c r="C41" s="7"/>
      <c r="D41" s="12">
        <f t="shared" ref="D41:AN41" si="35">0.5*(D40+D42)</f>
        <v>0.31</v>
      </c>
      <c r="E41" s="12">
        <f t="shared" si="35"/>
        <v>0.36</v>
      </c>
      <c r="F41" s="12">
        <f t="shared" si="35"/>
        <v>0.36</v>
      </c>
      <c r="G41" s="12">
        <f t="shared" si="35"/>
        <v>0.5</v>
      </c>
      <c r="H41" s="12">
        <f t="shared" si="35"/>
        <v>0.5</v>
      </c>
      <c r="I41" s="12">
        <f t="shared" si="35"/>
        <v>0.81</v>
      </c>
      <c r="J41" s="12">
        <f t="shared" si="35"/>
        <v>0.81</v>
      </c>
      <c r="K41" s="12">
        <f t="shared" si="35"/>
        <v>1</v>
      </c>
      <c r="L41" s="12">
        <f t="shared" si="35"/>
        <v>1</v>
      </c>
      <c r="M41" s="12">
        <f t="shared" si="35"/>
        <v>0.90500000000000003</v>
      </c>
      <c r="N41" s="12">
        <f t="shared" si="35"/>
        <v>0.65500000000000003</v>
      </c>
      <c r="O41" s="12">
        <f t="shared" si="35"/>
        <v>0.43</v>
      </c>
      <c r="P41" s="12">
        <f t="shared" si="35"/>
        <v>0.33499999999999996</v>
      </c>
      <c r="Q41" s="12">
        <f t="shared" si="35"/>
        <v>0.33499999999999996</v>
      </c>
      <c r="R41" s="12">
        <f t="shared" si="35"/>
        <v>0.43</v>
      </c>
      <c r="S41" s="12">
        <f t="shared" si="35"/>
        <v>0.65500000000000003</v>
      </c>
      <c r="T41" s="13">
        <f t="shared" si="35"/>
        <v>0.90500000000000003</v>
      </c>
      <c r="U41" s="14"/>
      <c r="V41" s="11">
        <f t="shared" si="35"/>
        <v>87.5</v>
      </c>
      <c r="W41" s="7"/>
      <c r="X41" s="12">
        <f t="shared" si="35"/>
        <v>0.73</v>
      </c>
      <c r="Y41" s="12">
        <f t="shared" si="35"/>
        <v>0.57999999999999996</v>
      </c>
      <c r="Z41" s="12">
        <f t="shared" si="35"/>
        <v>0.57999999999999996</v>
      </c>
      <c r="AA41" s="12">
        <f t="shared" si="35"/>
        <v>0.52</v>
      </c>
      <c r="AB41" s="12">
        <f t="shared" si="35"/>
        <v>0.52</v>
      </c>
      <c r="AC41" s="12">
        <f t="shared" si="35"/>
        <v>0.62</v>
      </c>
      <c r="AD41" s="12">
        <f t="shared" si="35"/>
        <v>0.62</v>
      </c>
      <c r="AE41" s="12">
        <f t="shared" si="35"/>
        <v>0.85</v>
      </c>
      <c r="AF41" s="12">
        <f t="shared" si="35"/>
        <v>0.85</v>
      </c>
      <c r="AG41" s="12">
        <f t="shared" si="35"/>
        <v>0.73499999999999999</v>
      </c>
      <c r="AH41" s="12">
        <f t="shared" si="35"/>
        <v>0.57000000000000006</v>
      </c>
      <c r="AI41" s="12">
        <f t="shared" si="35"/>
        <v>0.55000000000000004</v>
      </c>
      <c r="AJ41" s="12">
        <f t="shared" si="35"/>
        <v>0.65500000000000003</v>
      </c>
      <c r="AK41" s="12">
        <f t="shared" si="35"/>
        <v>0.65500000000000003</v>
      </c>
      <c r="AL41" s="12">
        <f t="shared" si="35"/>
        <v>0.55000000000000004</v>
      </c>
      <c r="AM41" s="12">
        <f t="shared" si="35"/>
        <v>0.57000000000000006</v>
      </c>
      <c r="AN41" s="12">
        <f t="shared" si="35"/>
        <v>0.73499999999999999</v>
      </c>
    </row>
    <row r="42" spans="2:40">
      <c r="B42" s="7">
        <v>90</v>
      </c>
      <c r="C42" s="8" t="s">
        <v>34</v>
      </c>
      <c r="D42" s="9" t="s">
        <v>86</v>
      </c>
      <c r="E42" s="9" t="s">
        <v>73</v>
      </c>
      <c r="F42" s="9" t="s">
        <v>73</v>
      </c>
      <c r="G42" s="9" t="s">
        <v>84</v>
      </c>
      <c r="H42" s="9" t="s">
        <v>84</v>
      </c>
      <c r="I42" s="9" t="s">
        <v>60</v>
      </c>
      <c r="J42" s="9" t="s">
        <v>60</v>
      </c>
      <c r="K42" s="9" t="s">
        <v>35</v>
      </c>
      <c r="L42" s="9" t="str">
        <f t="shared" si="1"/>
        <v>1,00</v>
      </c>
      <c r="M42" s="9">
        <f t="shared" si="2"/>
        <v>0.90500000000000003</v>
      </c>
      <c r="N42" s="9">
        <f t="shared" si="3"/>
        <v>0.65500000000000003</v>
      </c>
      <c r="O42" s="9">
        <f t="shared" si="4"/>
        <v>0.43</v>
      </c>
      <c r="P42" s="9">
        <f t="shared" si="5"/>
        <v>0.33499999999999996</v>
      </c>
      <c r="Q42" s="9">
        <f t="shared" si="6"/>
        <v>0.33499999999999996</v>
      </c>
      <c r="R42" s="9">
        <f t="shared" si="7"/>
        <v>0.43</v>
      </c>
      <c r="S42" s="9">
        <f t="shared" si="8"/>
        <v>0.65500000000000003</v>
      </c>
      <c r="T42" s="10">
        <f t="shared" si="9"/>
        <v>0.90500000000000003</v>
      </c>
      <c r="U42" s="2"/>
      <c r="V42" s="11">
        <v>90</v>
      </c>
      <c r="W42" s="8" t="s">
        <v>36</v>
      </c>
      <c r="X42" s="9" t="s">
        <v>52</v>
      </c>
      <c r="Y42" s="9" t="s">
        <v>87</v>
      </c>
      <c r="Z42" s="9" t="s">
        <v>87</v>
      </c>
      <c r="AA42" s="9" t="s">
        <v>79</v>
      </c>
      <c r="AB42" s="9" t="s">
        <v>79</v>
      </c>
      <c r="AC42" s="9" t="s">
        <v>57</v>
      </c>
      <c r="AD42" s="9" t="s">
        <v>57</v>
      </c>
      <c r="AE42" s="9" t="s">
        <v>59</v>
      </c>
      <c r="AF42" s="9" t="str">
        <f t="shared" si="10"/>
        <v>0,85</v>
      </c>
      <c r="AG42" s="9">
        <f t="shared" si="11"/>
        <v>0.73499999999999999</v>
      </c>
      <c r="AH42" s="9">
        <f t="shared" si="12"/>
        <v>0.57000000000000006</v>
      </c>
      <c r="AI42" s="9">
        <f t="shared" si="13"/>
        <v>0.55000000000000004</v>
      </c>
      <c r="AJ42" s="9">
        <f t="shared" si="14"/>
        <v>0.65500000000000003</v>
      </c>
      <c r="AK42" s="9">
        <f t="shared" si="15"/>
        <v>0.65500000000000003</v>
      </c>
      <c r="AL42" s="9">
        <f t="shared" si="16"/>
        <v>0.55000000000000004</v>
      </c>
      <c r="AM42" s="9">
        <f t="shared" si="17"/>
        <v>0.57000000000000006</v>
      </c>
      <c r="AN42" s="9">
        <f t="shared" si="18"/>
        <v>0.73499999999999999</v>
      </c>
    </row>
    <row r="45" spans="2:40" ht="14.4">
      <c r="B45" s="986" t="s">
        <v>130</v>
      </c>
      <c r="C45" s="986"/>
      <c r="D45" s="986"/>
      <c r="E45" s="986"/>
      <c r="F45" s="986"/>
      <c r="G45" s="986"/>
      <c r="H45" s="986"/>
      <c r="I45" s="986"/>
      <c r="J45" s="986"/>
      <c r="K45" s="986"/>
      <c r="L45" s="986"/>
      <c r="M45" s="986"/>
      <c r="N45" s="986"/>
      <c r="O45" s="986"/>
      <c r="P45" s="986"/>
      <c r="Q45" s="986"/>
      <c r="R45" s="986"/>
      <c r="S45" s="986"/>
      <c r="T45" s="986"/>
      <c r="U45" s="986"/>
      <c r="V45" s="986" t="s">
        <v>131</v>
      </c>
      <c r="W45" s="986"/>
      <c r="X45" s="986"/>
      <c r="Y45" s="986"/>
      <c r="Z45" s="986"/>
      <c r="AA45" s="986"/>
      <c r="AB45" s="986"/>
      <c r="AC45" s="986"/>
      <c r="AD45" s="986"/>
      <c r="AE45" s="986"/>
      <c r="AF45" s="986"/>
    </row>
    <row r="46" spans="2:40">
      <c r="B46" s="987" t="s">
        <v>90</v>
      </c>
      <c r="C46" s="981" t="s">
        <v>32</v>
      </c>
      <c r="D46" s="983" t="s">
        <v>33</v>
      </c>
      <c r="E46" s="984"/>
      <c r="F46" s="984"/>
      <c r="G46" s="984"/>
      <c r="H46" s="984"/>
      <c r="I46" s="984"/>
      <c r="J46" s="984"/>
      <c r="K46" s="985"/>
      <c r="L46" s="15"/>
      <c r="M46" s="15"/>
      <c r="N46" s="15"/>
      <c r="O46" s="15"/>
      <c r="P46" s="15"/>
      <c r="Q46" s="15"/>
      <c r="R46" s="15"/>
      <c r="S46" s="15"/>
      <c r="T46" s="15"/>
      <c r="U46" s="16"/>
      <c r="V46" s="987" t="s">
        <v>90</v>
      </c>
      <c r="W46" s="981" t="s">
        <v>32</v>
      </c>
      <c r="X46" s="983" t="s">
        <v>33</v>
      </c>
      <c r="Y46" s="984"/>
      <c r="Z46" s="984"/>
      <c r="AA46" s="984"/>
      <c r="AB46" s="984"/>
      <c r="AC46" s="984"/>
      <c r="AD46" s="984"/>
      <c r="AE46" s="985"/>
      <c r="AF46" s="16"/>
    </row>
    <row r="47" spans="2:40">
      <c r="B47" s="988"/>
      <c r="C47" s="982"/>
      <c r="D47" s="4">
        <v>180</v>
      </c>
      <c r="E47" s="4">
        <v>135</v>
      </c>
      <c r="F47" s="4">
        <v>225</v>
      </c>
      <c r="G47" s="4">
        <v>90</v>
      </c>
      <c r="H47" s="4">
        <v>270</v>
      </c>
      <c r="I47" s="4">
        <v>45</v>
      </c>
      <c r="J47" s="4">
        <v>315</v>
      </c>
      <c r="K47" s="5">
        <v>0</v>
      </c>
      <c r="L47" s="6">
        <v>360</v>
      </c>
      <c r="M47" s="6">
        <f>0.5*(K47+I47)</f>
        <v>22.5</v>
      </c>
      <c r="N47" s="6">
        <f>0.5*(I47+G47)</f>
        <v>67.5</v>
      </c>
      <c r="O47" s="6">
        <f>0.5*(G47+E47)</f>
        <v>112.5</v>
      </c>
      <c r="P47" s="6">
        <f>0.5*(E47+D47)</f>
        <v>157.5</v>
      </c>
      <c r="Q47" s="6">
        <f>0.5*(D47+F47)</f>
        <v>202.5</v>
      </c>
      <c r="R47" s="6">
        <f>0.5*(F47+H47)</f>
        <v>247.5</v>
      </c>
      <c r="S47" s="6">
        <f>0.5*(H47+J47)</f>
        <v>292.5</v>
      </c>
      <c r="T47" s="6">
        <f>0.5*(J47+L47)</f>
        <v>337.5</v>
      </c>
      <c r="U47" s="16"/>
      <c r="V47" s="988"/>
      <c r="W47" s="982"/>
      <c r="X47" s="4">
        <v>180</v>
      </c>
      <c r="Y47" s="4">
        <v>135</v>
      </c>
      <c r="Z47" s="4">
        <v>225</v>
      </c>
      <c r="AA47" s="4">
        <v>90</v>
      </c>
      <c r="AB47" s="4">
        <v>270</v>
      </c>
      <c r="AC47" s="4">
        <v>45</v>
      </c>
      <c r="AD47" s="4">
        <v>315</v>
      </c>
      <c r="AE47" s="5">
        <v>0</v>
      </c>
      <c r="AF47" s="6">
        <v>360</v>
      </c>
      <c r="AG47" s="6">
        <f>0.5*(AE47+AC47)</f>
        <v>22.5</v>
      </c>
      <c r="AH47" s="6">
        <f>0.5*(AC47+AA47)</f>
        <v>67.5</v>
      </c>
      <c r="AI47" s="6">
        <f>0.5*(AA47+Y47)</f>
        <v>112.5</v>
      </c>
      <c r="AJ47" s="6">
        <f>0.5*(Y47+X47)</f>
        <v>157.5</v>
      </c>
      <c r="AK47" s="6">
        <f>0.5*(X47+Z47)</f>
        <v>202.5</v>
      </c>
      <c r="AL47" s="6">
        <f>0.5*(Z47+AB47)</f>
        <v>247.5</v>
      </c>
      <c r="AM47" s="6">
        <f>0.5*(AB47+AD47)</f>
        <v>292.5</v>
      </c>
      <c r="AN47" s="6">
        <f>0.5*(AD47+AF47)</f>
        <v>337.5</v>
      </c>
    </row>
    <row r="48" spans="2:40">
      <c r="B48" s="17">
        <v>0</v>
      </c>
      <c r="C48" s="18" t="s">
        <v>34</v>
      </c>
      <c r="D48" s="19">
        <v>1</v>
      </c>
      <c r="E48" s="19">
        <v>1</v>
      </c>
      <c r="F48" s="19">
        <v>1</v>
      </c>
      <c r="G48" s="19">
        <v>1</v>
      </c>
      <c r="H48" s="19">
        <v>1</v>
      </c>
      <c r="I48" s="19">
        <v>1</v>
      </c>
      <c r="J48" s="19">
        <v>1</v>
      </c>
      <c r="K48" s="19">
        <v>1</v>
      </c>
      <c r="L48" s="9">
        <f>K48</f>
        <v>1</v>
      </c>
      <c r="M48" s="9">
        <f>0.5*(K48+I48)</f>
        <v>1</v>
      </c>
      <c r="N48" s="9">
        <f>0.5*(I48+G48)</f>
        <v>1</v>
      </c>
      <c r="O48" s="9">
        <f>0.5*(G48+E48)</f>
        <v>1</v>
      </c>
      <c r="P48" s="9">
        <f>0.5*(E48+D48)</f>
        <v>1</v>
      </c>
      <c r="Q48" s="9">
        <f>0.5*(D48+F48)</f>
        <v>1</v>
      </c>
      <c r="R48" s="9">
        <f>0.5*(F48+H48)</f>
        <v>1</v>
      </c>
      <c r="S48" s="9">
        <f>0.5*(H48+J48)</f>
        <v>1</v>
      </c>
      <c r="T48" s="10">
        <f>0.5*(J48+L48)</f>
        <v>1</v>
      </c>
      <c r="U48" s="16"/>
      <c r="V48" s="20">
        <v>0</v>
      </c>
      <c r="W48" s="18" t="s">
        <v>36</v>
      </c>
      <c r="X48" s="19">
        <v>1</v>
      </c>
      <c r="Y48" s="19">
        <v>1</v>
      </c>
      <c r="Z48" s="19">
        <v>1</v>
      </c>
      <c r="AA48" s="19">
        <v>1</v>
      </c>
      <c r="AB48" s="19">
        <v>1</v>
      </c>
      <c r="AC48" s="19">
        <v>1</v>
      </c>
      <c r="AD48" s="19">
        <v>1</v>
      </c>
      <c r="AE48" s="19">
        <v>1</v>
      </c>
      <c r="AF48" s="9">
        <f>AE48</f>
        <v>1</v>
      </c>
      <c r="AG48" s="9">
        <f>0.5*(AE48+AC48)</f>
        <v>1</v>
      </c>
      <c r="AH48" s="9">
        <f>0.5*(AC48+AA48)</f>
        <v>1</v>
      </c>
      <c r="AI48" s="9">
        <f>0.5*(AA48+Y48)</f>
        <v>1</v>
      </c>
      <c r="AJ48" s="9">
        <f>0.5*(Y48+X48)</f>
        <v>1</v>
      </c>
      <c r="AK48" s="9">
        <f>0.5*(X48+Z48)</f>
        <v>1</v>
      </c>
      <c r="AL48" s="9">
        <f>0.5*(Z48+AB48)</f>
        <v>1</v>
      </c>
      <c r="AM48" s="9">
        <f>0.5*(AB48+AD48)</f>
        <v>1</v>
      </c>
      <c r="AN48" s="9">
        <f>0.5*(AD48+AF48)</f>
        <v>1</v>
      </c>
    </row>
    <row r="49" spans="2:40">
      <c r="B49" s="7">
        <f>0.5*(B48+B50)</f>
        <v>2.5</v>
      </c>
      <c r="C49" s="7"/>
      <c r="D49" s="12">
        <f t="shared" ref="D49:AN49" si="36">0.5*(D48+D50)</f>
        <v>0.98499999999999999</v>
      </c>
      <c r="E49" s="12">
        <f t="shared" si="36"/>
        <v>0.98499999999999999</v>
      </c>
      <c r="F49" s="12">
        <f t="shared" si="36"/>
        <v>0.98499999999999999</v>
      </c>
      <c r="G49" s="12">
        <f t="shared" si="36"/>
        <v>0.98499999999999999</v>
      </c>
      <c r="H49" s="12">
        <f t="shared" si="36"/>
        <v>0.98499999999999999</v>
      </c>
      <c r="I49" s="12">
        <f t="shared" si="36"/>
        <v>0.98499999999999999</v>
      </c>
      <c r="J49" s="12">
        <f t="shared" si="36"/>
        <v>0.98499999999999999</v>
      </c>
      <c r="K49" s="12">
        <f t="shared" si="36"/>
        <v>0.98</v>
      </c>
      <c r="L49" s="12">
        <f t="shared" si="36"/>
        <v>0.98</v>
      </c>
      <c r="M49" s="12">
        <f t="shared" si="36"/>
        <v>0.98249999999999993</v>
      </c>
      <c r="N49" s="12">
        <f t="shared" si="36"/>
        <v>0.98499999999999999</v>
      </c>
      <c r="O49" s="12">
        <f t="shared" si="36"/>
        <v>0.98499999999999999</v>
      </c>
      <c r="P49" s="12">
        <f t="shared" si="36"/>
        <v>0.98499999999999999</v>
      </c>
      <c r="Q49" s="12">
        <f t="shared" si="36"/>
        <v>0.98499999999999999</v>
      </c>
      <c r="R49" s="12">
        <f t="shared" si="36"/>
        <v>0.98499999999999999</v>
      </c>
      <c r="S49" s="12">
        <f t="shared" si="36"/>
        <v>0.98499999999999999</v>
      </c>
      <c r="T49" s="13">
        <f t="shared" si="36"/>
        <v>0.98249999999999993</v>
      </c>
      <c r="U49" s="14"/>
      <c r="V49" s="11">
        <f t="shared" si="36"/>
        <v>2.5</v>
      </c>
      <c r="W49" s="7"/>
      <c r="X49" s="12">
        <f t="shared" si="36"/>
        <v>0.97499999999999998</v>
      </c>
      <c r="Y49" s="12">
        <f t="shared" si="36"/>
        <v>0.98</v>
      </c>
      <c r="Z49" s="12">
        <f t="shared" si="36"/>
        <v>0.98</v>
      </c>
      <c r="AA49" s="12">
        <f t="shared" si="36"/>
        <v>0.98</v>
      </c>
      <c r="AB49" s="12">
        <f t="shared" si="36"/>
        <v>0.98</v>
      </c>
      <c r="AC49" s="12">
        <f t="shared" si="36"/>
        <v>0.98499999999999999</v>
      </c>
      <c r="AD49" s="12">
        <f t="shared" si="36"/>
        <v>0.98499999999999999</v>
      </c>
      <c r="AE49" s="12">
        <f t="shared" si="36"/>
        <v>0.98499999999999999</v>
      </c>
      <c r="AF49" s="12">
        <f t="shared" si="36"/>
        <v>0.98499999999999999</v>
      </c>
      <c r="AG49" s="12">
        <f t="shared" si="36"/>
        <v>0.98499999999999999</v>
      </c>
      <c r="AH49" s="12">
        <f t="shared" si="36"/>
        <v>0.98249999999999993</v>
      </c>
      <c r="AI49" s="12">
        <f t="shared" si="36"/>
        <v>0.98</v>
      </c>
      <c r="AJ49" s="12">
        <f t="shared" si="36"/>
        <v>0.97750000000000004</v>
      </c>
      <c r="AK49" s="12">
        <f t="shared" si="36"/>
        <v>0.97750000000000004</v>
      </c>
      <c r="AL49" s="12">
        <f t="shared" si="36"/>
        <v>0.98</v>
      </c>
      <c r="AM49" s="12">
        <f t="shared" si="36"/>
        <v>0.98249999999999993</v>
      </c>
      <c r="AN49" s="12">
        <f t="shared" si="36"/>
        <v>0.98499999999999999</v>
      </c>
    </row>
    <row r="50" spans="2:40">
      <c r="B50" s="17">
        <v>5</v>
      </c>
      <c r="C50" s="18" t="s">
        <v>34</v>
      </c>
      <c r="D50" s="19" t="s">
        <v>38</v>
      </c>
      <c r="E50" s="19" t="s">
        <v>38</v>
      </c>
      <c r="F50" s="19" t="s">
        <v>38</v>
      </c>
      <c r="G50" s="19" t="s">
        <v>38</v>
      </c>
      <c r="H50" s="19" t="s">
        <v>38</v>
      </c>
      <c r="I50" s="19" t="s">
        <v>38</v>
      </c>
      <c r="J50" s="19" t="s">
        <v>38</v>
      </c>
      <c r="K50" s="19" t="s">
        <v>39</v>
      </c>
      <c r="L50" s="9" t="str">
        <f t="shared" ref="L50:L84" si="37">K50</f>
        <v>0,96</v>
      </c>
      <c r="M50" s="9">
        <f t="shared" ref="M50:M84" si="38">0.5*(K50+I50)</f>
        <v>0.96499999999999997</v>
      </c>
      <c r="N50" s="9">
        <f t="shared" ref="N50:N84" si="39">0.5*(I50+G50)</f>
        <v>0.97</v>
      </c>
      <c r="O50" s="9">
        <f t="shared" ref="O50:O84" si="40">0.5*(G50+E50)</f>
        <v>0.97</v>
      </c>
      <c r="P50" s="9">
        <f t="shared" ref="P50:P84" si="41">0.5*(E50+D50)</f>
        <v>0.97</v>
      </c>
      <c r="Q50" s="9">
        <f t="shared" ref="Q50:Q84" si="42">0.5*(D50+F50)</f>
        <v>0.97</v>
      </c>
      <c r="R50" s="9">
        <f t="shared" ref="R50:R84" si="43">0.5*(F50+H50)</f>
        <v>0.97</v>
      </c>
      <c r="S50" s="9">
        <f t="shared" ref="S50:S84" si="44">0.5*(H50+J50)</f>
        <v>0.97</v>
      </c>
      <c r="T50" s="10">
        <f t="shared" ref="T50:T84" si="45">0.5*(J50+L50)</f>
        <v>0.96499999999999997</v>
      </c>
      <c r="U50" s="16"/>
      <c r="V50" s="20">
        <v>5</v>
      </c>
      <c r="W50" s="18" t="s">
        <v>36</v>
      </c>
      <c r="X50" s="19" t="s">
        <v>40</v>
      </c>
      <c r="Y50" s="19" t="s">
        <v>39</v>
      </c>
      <c r="Z50" s="19" t="s">
        <v>39</v>
      </c>
      <c r="AA50" s="19" t="s">
        <v>39</v>
      </c>
      <c r="AB50" s="19" t="s">
        <v>39</v>
      </c>
      <c r="AC50" s="19" t="s">
        <v>38</v>
      </c>
      <c r="AD50" s="19" t="s">
        <v>38</v>
      </c>
      <c r="AE50" s="19" t="s">
        <v>38</v>
      </c>
      <c r="AF50" s="9" t="str">
        <f t="shared" ref="AF50:AF84" si="46">AE50</f>
        <v>0,97</v>
      </c>
      <c r="AG50" s="9">
        <f t="shared" ref="AG50:AG84" si="47">0.5*(AE50+AC50)</f>
        <v>0.97</v>
      </c>
      <c r="AH50" s="9">
        <f t="shared" ref="AH50:AH84" si="48">0.5*(AC50+AA50)</f>
        <v>0.96499999999999997</v>
      </c>
      <c r="AI50" s="9">
        <f t="shared" ref="AI50:AI84" si="49">0.5*(AA50+Y50)</f>
        <v>0.96</v>
      </c>
      <c r="AJ50" s="9">
        <f t="shared" ref="AJ50:AJ84" si="50">0.5*(Y50+X50)</f>
        <v>0.95499999999999996</v>
      </c>
      <c r="AK50" s="9">
        <f t="shared" ref="AK50:AK84" si="51">0.5*(X50+Z50)</f>
        <v>0.95499999999999996</v>
      </c>
      <c r="AL50" s="9">
        <f t="shared" ref="AL50:AL84" si="52">0.5*(Z50+AB50)</f>
        <v>0.96</v>
      </c>
      <c r="AM50" s="9">
        <f t="shared" ref="AM50:AM84" si="53">0.5*(AB50+AD50)</f>
        <v>0.96499999999999997</v>
      </c>
      <c r="AN50" s="9">
        <f t="shared" ref="AN50:AN84" si="54">0.5*(AD50+AF50)</f>
        <v>0.97</v>
      </c>
    </row>
    <row r="51" spans="2:40">
      <c r="B51" s="7">
        <f>0.5*(B50+B52)</f>
        <v>7.5</v>
      </c>
      <c r="C51" s="7"/>
      <c r="D51" s="12">
        <f t="shared" ref="D51" si="55">0.5*(D50+D52)</f>
        <v>0.95499999999999996</v>
      </c>
      <c r="E51" s="12">
        <f t="shared" ref="E51" si="56">0.5*(E50+E52)</f>
        <v>0.95499999999999996</v>
      </c>
      <c r="F51" s="12">
        <f t="shared" ref="F51" si="57">0.5*(F50+F52)</f>
        <v>0.95499999999999996</v>
      </c>
      <c r="G51" s="12">
        <f t="shared" ref="G51" si="58">0.5*(G50+G52)</f>
        <v>0.95499999999999996</v>
      </c>
      <c r="H51" s="12">
        <f t="shared" ref="H51" si="59">0.5*(H50+H52)</f>
        <v>0.95499999999999996</v>
      </c>
      <c r="I51" s="12">
        <f t="shared" ref="I51" si="60">0.5*(I50+I52)</f>
        <v>0.95</v>
      </c>
      <c r="J51" s="12">
        <f t="shared" ref="J51" si="61">0.5*(J50+J52)</f>
        <v>0.95</v>
      </c>
      <c r="K51" s="12">
        <f t="shared" ref="K51" si="62">0.5*(K50+K52)</f>
        <v>0.94</v>
      </c>
      <c r="L51" s="12">
        <f t="shared" ref="L51" si="63">0.5*(L50+L52)</f>
        <v>0.94</v>
      </c>
      <c r="M51" s="12">
        <f t="shared" ref="M51" si="64">0.5*(M50+M52)</f>
        <v>0.94500000000000006</v>
      </c>
      <c r="N51" s="12">
        <f t="shared" ref="N51" si="65">0.5*(N50+N52)</f>
        <v>0.95250000000000001</v>
      </c>
      <c r="O51" s="12">
        <f t="shared" ref="O51" si="66">0.5*(O50+O52)</f>
        <v>0.95499999999999996</v>
      </c>
      <c r="P51" s="12">
        <f t="shared" ref="P51" si="67">0.5*(P50+P52)</f>
        <v>0.95499999999999996</v>
      </c>
      <c r="Q51" s="12">
        <f t="shared" ref="Q51" si="68">0.5*(Q50+Q52)</f>
        <v>0.95499999999999996</v>
      </c>
      <c r="R51" s="12">
        <f t="shared" ref="R51" si="69">0.5*(R50+R52)</f>
        <v>0.95499999999999996</v>
      </c>
      <c r="S51" s="12">
        <f t="shared" ref="S51" si="70">0.5*(S50+S52)</f>
        <v>0.95250000000000001</v>
      </c>
      <c r="T51" s="13">
        <f t="shared" ref="T51" si="71">0.5*(T50+T52)</f>
        <v>0.94500000000000006</v>
      </c>
      <c r="U51" s="14"/>
      <c r="V51" s="11">
        <f t="shared" ref="V51" si="72">0.5*(V50+V52)</f>
        <v>7.5</v>
      </c>
      <c r="W51" s="7"/>
      <c r="X51" s="12">
        <f t="shared" ref="X51" si="73">0.5*(X50+X52)</f>
        <v>0.91999999999999993</v>
      </c>
      <c r="Y51" s="12">
        <f t="shared" ref="Y51" si="74">0.5*(Y50+Y52)</f>
        <v>0.93500000000000005</v>
      </c>
      <c r="Z51" s="12">
        <f t="shared" ref="Z51" si="75">0.5*(Z50+Z52)</f>
        <v>0.93500000000000005</v>
      </c>
      <c r="AA51" s="12">
        <f t="shared" ref="AA51" si="76">0.5*(AA50+AA52)</f>
        <v>0.94500000000000006</v>
      </c>
      <c r="AB51" s="12">
        <f t="shared" ref="AB51" si="77">0.5*(AB50+AB52)</f>
        <v>0.94500000000000006</v>
      </c>
      <c r="AC51" s="12">
        <f t="shared" ref="AC51" si="78">0.5*(AC50+AC52)</f>
        <v>0.95</v>
      </c>
      <c r="AD51" s="12">
        <f t="shared" ref="AD51" si="79">0.5*(AD50+AD52)</f>
        <v>0.95</v>
      </c>
      <c r="AE51" s="12">
        <f t="shared" ref="AE51" si="80">0.5*(AE50+AE52)</f>
        <v>0.95499999999999996</v>
      </c>
      <c r="AF51" s="12">
        <f t="shared" ref="AF51" si="81">0.5*(AF50+AF52)</f>
        <v>0.95499999999999996</v>
      </c>
      <c r="AG51" s="12">
        <f t="shared" ref="AG51" si="82">0.5*(AG50+AG52)</f>
        <v>0.95250000000000001</v>
      </c>
      <c r="AH51" s="12">
        <f t="shared" ref="AH51" si="83">0.5*(AH50+AH52)</f>
        <v>0.94750000000000001</v>
      </c>
      <c r="AI51" s="12">
        <f t="shared" ref="AI51" si="84">0.5*(AI50+AI52)</f>
        <v>0.94</v>
      </c>
      <c r="AJ51" s="12">
        <f t="shared" ref="AJ51" si="85">0.5*(AJ50+AJ52)</f>
        <v>0.92749999999999999</v>
      </c>
      <c r="AK51" s="12">
        <f t="shared" ref="AK51" si="86">0.5*(AK50+AK52)</f>
        <v>0.92749999999999999</v>
      </c>
      <c r="AL51" s="12">
        <f t="shared" ref="AL51" si="87">0.5*(AL50+AL52)</f>
        <v>0.94</v>
      </c>
      <c r="AM51" s="12">
        <f t="shared" ref="AM51" si="88">0.5*(AM50+AM52)</f>
        <v>0.94750000000000001</v>
      </c>
      <c r="AN51" s="12">
        <f t="shared" ref="AN51" si="89">0.5*(AN50+AN52)</f>
        <v>0.95250000000000001</v>
      </c>
    </row>
    <row r="52" spans="2:40">
      <c r="B52" s="17">
        <v>10</v>
      </c>
      <c r="C52" s="18" t="s">
        <v>34</v>
      </c>
      <c r="D52" s="19" t="s">
        <v>42</v>
      </c>
      <c r="E52" s="19" t="s">
        <v>42</v>
      </c>
      <c r="F52" s="19" t="s">
        <v>42</v>
      </c>
      <c r="G52" s="19" t="s">
        <v>42</v>
      </c>
      <c r="H52" s="19" t="s">
        <v>42</v>
      </c>
      <c r="I52" s="19" t="s">
        <v>41</v>
      </c>
      <c r="J52" s="19" t="s">
        <v>41</v>
      </c>
      <c r="K52" s="19" t="s">
        <v>43</v>
      </c>
      <c r="L52" s="9" t="str">
        <f t="shared" si="37"/>
        <v>0,92</v>
      </c>
      <c r="M52" s="9">
        <f t="shared" si="38"/>
        <v>0.92500000000000004</v>
      </c>
      <c r="N52" s="9">
        <f t="shared" si="39"/>
        <v>0.93500000000000005</v>
      </c>
      <c r="O52" s="9">
        <f t="shared" si="40"/>
        <v>0.94</v>
      </c>
      <c r="P52" s="9">
        <f t="shared" si="41"/>
        <v>0.94</v>
      </c>
      <c r="Q52" s="9">
        <f t="shared" si="42"/>
        <v>0.94</v>
      </c>
      <c r="R52" s="9">
        <f t="shared" si="43"/>
        <v>0.94</v>
      </c>
      <c r="S52" s="9">
        <f t="shared" si="44"/>
        <v>0.93500000000000005</v>
      </c>
      <c r="T52" s="9">
        <f t="shared" si="45"/>
        <v>0.92500000000000004</v>
      </c>
      <c r="U52" s="16"/>
      <c r="V52" s="21">
        <v>10</v>
      </c>
      <c r="W52" s="18" t="s">
        <v>36</v>
      </c>
      <c r="X52" s="19" t="s">
        <v>45</v>
      </c>
      <c r="Y52" s="19" t="s">
        <v>44</v>
      </c>
      <c r="Z52" s="19" t="s">
        <v>44</v>
      </c>
      <c r="AA52" s="19" t="s">
        <v>41</v>
      </c>
      <c r="AB52" s="19" t="s">
        <v>41</v>
      </c>
      <c r="AC52" s="19" t="s">
        <v>41</v>
      </c>
      <c r="AD52" s="19" t="s">
        <v>41</v>
      </c>
      <c r="AE52" s="19" t="s">
        <v>42</v>
      </c>
      <c r="AF52" s="9" t="str">
        <f t="shared" si="46"/>
        <v>0,94</v>
      </c>
      <c r="AG52" s="9">
        <f t="shared" si="47"/>
        <v>0.93500000000000005</v>
      </c>
      <c r="AH52" s="9">
        <f t="shared" si="48"/>
        <v>0.93</v>
      </c>
      <c r="AI52" s="9">
        <f t="shared" si="49"/>
        <v>0.92</v>
      </c>
      <c r="AJ52" s="9">
        <f t="shared" si="50"/>
        <v>0.9</v>
      </c>
      <c r="AK52" s="9">
        <f t="shared" si="51"/>
        <v>0.9</v>
      </c>
      <c r="AL52" s="9">
        <f t="shared" si="52"/>
        <v>0.92</v>
      </c>
      <c r="AM52" s="9">
        <f t="shared" si="53"/>
        <v>0.93</v>
      </c>
      <c r="AN52" s="9">
        <f t="shared" si="54"/>
        <v>0.93500000000000005</v>
      </c>
    </row>
    <row r="53" spans="2:40">
      <c r="B53" s="7">
        <f>0.5*(B52+B54)</f>
        <v>12.5</v>
      </c>
      <c r="C53" s="7"/>
      <c r="D53" s="12">
        <f t="shared" ref="D53" si="90">0.5*(D52+D54)</f>
        <v>0.92500000000000004</v>
      </c>
      <c r="E53" s="12">
        <f t="shared" ref="E53" si="91">0.5*(E52+E54)</f>
        <v>0.92500000000000004</v>
      </c>
      <c r="F53" s="12">
        <f t="shared" ref="F53" si="92">0.5*(F52+F54)</f>
        <v>0.92500000000000004</v>
      </c>
      <c r="G53" s="12">
        <f t="shared" ref="G53" si="93">0.5*(G52+G54)</f>
        <v>0.92500000000000004</v>
      </c>
      <c r="H53" s="12">
        <f t="shared" ref="H53" si="94">0.5*(H52+H54)</f>
        <v>0.92500000000000004</v>
      </c>
      <c r="I53" s="12">
        <f t="shared" ref="I53" si="95">0.5*(I52+I54)</f>
        <v>0.91500000000000004</v>
      </c>
      <c r="J53" s="12">
        <f t="shared" ref="J53" si="96">0.5*(J52+J54)</f>
        <v>0.91500000000000004</v>
      </c>
      <c r="K53" s="12">
        <f t="shared" ref="K53" si="97">0.5*(K52+K54)</f>
        <v>0.90500000000000003</v>
      </c>
      <c r="L53" s="12">
        <f t="shared" ref="L53" si="98">0.5*(L52+L54)</f>
        <v>0.90500000000000003</v>
      </c>
      <c r="M53" s="12">
        <f t="shared" ref="M53" si="99">0.5*(M52+M54)</f>
        <v>0.91</v>
      </c>
      <c r="N53" s="12">
        <f t="shared" ref="N53" si="100">0.5*(N52+N54)</f>
        <v>0.92</v>
      </c>
      <c r="O53" s="12">
        <f t="shared" ref="O53" si="101">0.5*(O52+O54)</f>
        <v>0.92500000000000004</v>
      </c>
      <c r="P53" s="12">
        <f t="shared" ref="P53" si="102">0.5*(P52+P54)</f>
        <v>0.92500000000000004</v>
      </c>
      <c r="Q53" s="12">
        <f t="shared" ref="Q53" si="103">0.5*(Q52+Q54)</f>
        <v>0.92500000000000004</v>
      </c>
      <c r="R53" s="12">
        <f t="shared" ref="R53" si="104">0.5*(R52+R54)</f>
        <v>0.92500000000000004</v>
      </c>
      <c r="S53" s="12">
        <f t="shared" ref="S53" si="105">0.5*(S52+S54)</f>
        <v>0.92</v>
      </c>
      <c r="T53" s="13">
        <f t="shared" ref="T53" si="106">0.5*(T52+T54)</f>
        <v>0.91</v>
      </c>
      <c r="U53" s="14"/>
      <c r="V53" s="11">
        <f t="shared" ref="V53" si="107">0.5*(V52+V54)</f>
        <v>12.5</v>
      </c>
      <c r="W53" s="7"/>
      <c r="X53" s="12">
        <f t="shared" ref="X53" si="108">0.5*(X52+X54)</f>
        <v>0.86499999999999999</v>
      </c>
      <c r="Y53" s="12">
        <f t="shared" ref="Y53" si="109">0.5*(Y52+Y54)</f>
        <v>0.88500000000000001</v>
      </c>
      <c r="Z53" s="12">
        <f t="shared" ref="Z53" si="110">0.5*(Z52+Z54)</f>
        <v>0.88500000000000001</v>
      </c>
      <c r="AA53" s="12">
        <f t="shared" ref="AA53" si="111">0.5*(AA52+AA54)</f>
        <v>0.91</v>
      </c>
      <c r="AB53" s="12">
        <f t="shared" ref="AB53" si="112">0.5*(AB52+AB54)</f>
        <v>0.91</v>
      </c>
      <c r="AC53" s="12">
        <f t="shared" ref="AC53" si="113">0.5*(AC52+AC54)</f>
        <v>0.91500000000000004</v>
      </c>
      <c r="AD53" s="12">
        <f t="shared" ref="AD53" si="114">0.5*(AD52+AD54)</f>
        <v>0.91500000000000004</v>
      </c>
      <c r="AE53" s="12">
        <f t="shared" ref="AE53" si="115">0.5*(AE52+AE54)</f>
        <v>0.91999999999999993</v>
      </c>
      <c r="AF53" s="12">
        <f t="shared" ref="AF53" si="116">0.5*(AF52+AF54)</f>
        <v>0.91999999999999993</v>
      </c>
      <c r="AG53" s="12">
        <f t="shared" ref="AG53" si="117">0.5*(AG52+AG54)</f>
        <v>0.91749999999999998</v>
      </c>
      <c r="AH53" s="12">
        <f t="shared" ref="AH53" si="118">0.5*(AH52+AH54)</f>
        <v>0.91250000000000009</v>
      </c>
      <c r="AI53" s="12">
        <f t="shared" ref="AI53" si="119">0.5*(AI52+AI54)</f>
        <v>0.89749999999999996</v>
      </c>
      <c r="AJ53" s="12">
        <f t="shared" ref="AJ53" si="120">0.5*(AJ52+AJ54)</f>
        <v>0.875</v>
      </c>
      <c r="AK53" s="12">
        <f t="shared" ref="AK53" si="121">0.5*(AK52+AK54)</f>
        <v>0.875</v>
      </c>
      <c r="AL53" s="12">
        <f t="shared" ref="AL53" si="122">0.5*(AL52+AL54)</f>
        <v>0.89749999999999996</v>
      </c>
      <c r="AM53" s="12">
        <f t="shared" ref="AM53" si="123">0.5*(AM52+AM54)</f>
        <v>0.91250000000000009</v>
      </c>
      <c r="AN53" s="12">
        <f t="shared" ref="AN53" si="124">0.5*(AN52+AN54)</f>
        <v>0.91749999999999998</v>
      </c>
    </row>
    <row r="54" spans="2:40">
      <c r="B54" s="17">
        <v>15</v>
      </c>
      <c r="C54" s="18" t="s">
        <v>34</v>
      </c>
      <c r="D54" s="19" t="s">
        <v>44</v>
      </c>
      <c r="E54" s="19" t="s">
        <v>44</v>
      </c>
      <c r="F54" s="19" t="s">
        <v>44</v>
      </c>
      <c r="G54" s="19" t="s">
        <v>44</v>
      </c>
      <c r="H54" s="19" t="s">
        <v>44</v>
      </c>
      <c r="I54" s="19" t="s">
        <v>47</v>
      </c>
      <c r="J54" s="19" t="s">
        <v>47</v>
      </c>
      <c r="K54" s="19" t="s">
        <v>45</v>
      </c>
      <c r="L54" s="9" t="str">
        <f t="shared" si="37"/>
        <v>0,89</v>
      </c>
      <c r="M54" s="9">
        <f t="shared" si="38"/>
        <v>0.89500000000000002</v>
      </c>
      <c r="N54" s="9">
        <f t="shared" si="39"/>
        <v>0.90500000000000003</v>
      </c>
      <c r="O54" s="9">
        <f t="shared" si="40"/>
        <v>0.91</v>
      </c>
      <c r="P54" s="9">
        <f t="shared" si="41"/>
        <v>0.91</v>
      </c>
      <c r="Q54" s="9">
        <f t="shared" si="42"/>
        <v>0.91</v>
      </c>
      <c r="R54" s="9">
        <f t="shared" si="43"/>
        <v>0.91</v>
      </c>
      <c r="S54" s="9">
        <f t="shared" si="44"/>
        <v>0.90500000000000003</v>
      </c>
      <c r="T54" s="9">
        <f t="shared" si="45"/>
        <v>0.89500000000000002</v>
      </c>
      <c r="U54" s="16"/>
      <c r="V54" s="21">
        <v>15</v>
      </c>
      <c r="W54" s="18" t="s">
        <v>36</v>
      </c>
      <c r="X54" s="19" t="s">
        <v>49</v>
      </c>
      <c r="Y54" s="19" t="s">
        <v>46</v>
      </c>
      <c r="Z54" s="19" t="s">
        <v>46</v>
      </c>
      <c r="AA54" s="19" t="s">
        <v>45</v>
      </c>
      <c r="AB54" s="19" t="s">
        <v>45</v>
      </c>
      <c r="AC54" s="19" t="s">
        <v>47</v>
      </c>
      <c r="AD54" s="19" t="s">
        <v>47</v>
      </c>
      <c r="AE54" s="19" t="s">
        <v>47</v>
      </c>
      <c r="AF54" s="9" t="str">
        <f t="shared" si="46"/>
        <v>0,90</v>
      </c>
      <c r="AG54" s="9">
        <f t="shared" si="47"/>
        <v>0.9</v>
      </c>
      <c r="AH54" s="9">
        <f t="shared" si="48"/>
        <v>0.89500000000000002</v>
      </c>
      <c r="AI54" s="9">
        <f t="shared" si="49"/>
        <v>0.875</v>
      </c>
      <c r="AJ54" s="9">
        <f t="shared" si="50"/>
        <v>0.85</v>
      </c>
      <c r="AK54" s="9">
        <f t="shared" si="51"/>
        <v>0.85</v>
      </c>
      <c r="AL54" s="9">
        <f t="shared" si="52"/>
        <v>0.875</v>
      </c>
      <c r="AM54" s="9">
        <f t="shared" si="53"/>
        <v>0.89500000000000002</v>
      </c>
      <c r="AN54" s="9">
        <f t="shared" si="54"/>
        <v>0.9</v>
      </c>
    </row>
    <row r="55" spans="2:40">
      <c r="B55" s="7">
        <f>0.5*(B54+B56)</f>
        <v>17.5</v>
      </c>
      <c r="C55" s="7"/>
      <c r="D55" s="12">
        <f t="shared" ref="D55" si="125">0.5*(D54+D56)</f>
        <v>0.89</v>
      </c>
      <c r="E55" s="12">
        <f t="shared" ref="E55" si="126">0.5*(E54+E56)</f>
        <v>0.89500000000000002</v>
      </c>
      <c r="F55" s="12">
        <f t="shared" ref="F55" si="127">0.5*(F54+F56)</f>
        <v>0.89500000000000002</v>
      </c>
      <c r="G55" s="12">
        <f t="shared" ref="G55" si="128">0.5*(G54+G56)</f>
        <v>0.89500000000000002</v>
      </c>
      <c r="H55" s="12">
        <f t="shared" ref="H55" si="129">0.5*(H54+H56)</f>
        <v>0.89500000000000002</v>
      </c>
      <c r="I55" s="12">
        <f t="shared" ref="I55" si="130">0.5*(I54+I56)</f>
        <v>0.88</v>
      </c>
      <c r="J55" s="12">
        <f t="shared" ref="J55" si="131">0.5*(J54+J56)</f>
        <v>0.88</v>
      </c>
      <c r="K55" s="12">
        <f t="shared" ref="K55" si="132">0.5*(K54+K56)</f>
        <v>0.87</v>
      </c>
      <c r="L55" s="12">
        <f t="shared" ref="L55" si="133">0.5*(L54+L56)</f>
        <v>0.87</v>
      </c>
      <c r="M55" s="12">
        <f t="shared" ref="M55" si="134">0.5*(M54+M56)</f>
        <v>0.875</v>
      </c>
      <c r="N55" s="12">
        <f t="shared" ref="N55" si="135">0.5*(N54+N56)</f>
        <v>0.88749999999999996</v>
      </c>
      <c r="O55" s="12">
        <f t="shared" ref="O55" si="136">0.5*(O54+O56)</f>
        <v>0.89500000000000002</v>
      </c>
      <c r="P55" s="12">
        <f t="shared" ref="P55" si="137">0.5*(P54+P56)</f>
        <v>0.89250000000000007</v>
      </c>
      <c r="Q55" s="12">
        <f t="shared" ref="Q55" si="138">0.5*(Q54+Q56)</f>
        <v>0.89250000000000007</v>
      </c>
      <c r="R55" s="12">
        <f t="shared" ref="R55" si="139">0.5*(R54+R56)</f>
        <v>0.89500000000000002</v>
      </c>
      <c r="S55" s="12">
        <f t="shared" ref="S55" si="140">0.5*(S54+S56)</f>
        <v>0.88749999999999996</v>
      </c>
      <c r="T55" s="13">
        <f t="shared" ref="T55" si="141">0.5*(T54+T56)</f>
        <v>0.875</v>
      </c>
      <c r="U55" s="14"/>
      <c r="V55" s="11">
        <f t="shared" ref="V55" si="142">0.5*(V54+V56)</f>
        <v>17.5</v>
      </c>
      <c r="W55" s="7"/>
      <c r="X55" s="12">
        <f t="shared" ref="X55" si="143">0.5*(X54+X56)</f>
        <v>0.81</v>
      </c>
      <c r="Y55" s="12">
        <f t="shared" ref="Y55" si="144">0.5*(Y54+Y56)</f>
        <v>0.84</v>
      </c>
      <c r="Z55" s="12">
        <f t="shared" ref="Z55" si="145">0.5*(Z54+Z56)</f>
        <v>0.84</v>
      </c>
      <c r="AA55" s="12">
        <f t="shared" ref="AA55" si="146">0.5*(AA54+AA56)</f>
        <v>0.87</v>
      </c>
      <c r="AB55" s="12">
        <f t="shared" ref="AB55" si="147">0.5*(AB54+AB56)</f>
        <v>0.87</v>
      </c>
      <c r="AC55" s="12">
        <f t="shared" ref="AC55" si="148">0.5*(AC54+AC56)</f>
        <v>0.88500000000000001</v>
      </c>
      <c r="AD55" s="12">
        <f t="shared" ref="AD55" si="149">0.5*(AD54+AD56)</f>
        <v>0.88500000000000001</v>
      </c>
      <c r="AE55" s="12">
        <f t="shared" ref="AE55" si="150">0.5*(AE54+AE56)</f>
        <v>0.88500000000000001</v>
      </c>
      <c r="AF55" s="12">
        <f t="shared" ref="AF55" si="151">0.5*(AF54+AF56)</f>
        <v>0.88500000000000001</v>
      </c>
      <c r="AG55" s="12">
        <f t="shared" ref="AG55" si="152">0.5*(AG54+AG56)</f>
        <v>0.88500000000000001</v>
      </c>
      <c r="AH55" s="12">
        <f t="shared" ref="AH55" si="153">0.5*(AH54+AH56)</f>
        <v>0.87749999999999995</v>
      </c>
      <c r="AI55" s="12">
        <f t="shared" ref="AI55" si="154">0.5*(AI54+AI56)</f>
        <v>0.85499999999999998</v>
      </c>
      <c r="AJ55" s="12">
        <f t="shared" ref="AJ55" si="155">0.5*(AJ54+AJ56)</f>
        <v>0.82499999999999996</v>
      </c>
      <c r="AK55" s="12">
        <f t="shared" ref="AK55" si="156">0.5*(AK54+AK56)</f>
        <v>0.82499999999999996</v>
      </c>
      <c r="AL55" s="12">
        <f t="shared" ref="AL55" si="157">0.5*(AL54+AL56)</f>
        <v>0.85499999999999998</v>
      </c>
      <c r="AM55" s="12">
        <f t="shared" ref="AM55" si="158">0.5*(AM54+AM56)</f>
        <v>0.87749999999999995</v>
      </c>
      <c r="AN55" s="12">
        <f t="shared" ref="AN55" si="159">0.5*(AN54+AN56)</f>
        <v>0.88500000000000001</v>
      </c>
    </row>
    <row r="56" spans="2:40">
      <c r="B56" s="17">
        <v>20</v>
      </c>
      <c r="C56" s="18" t="s">
        <v>34</v>
      </c>
      <c r="D56" s="19" t="s">
        <v>51</v>
      </c>
      <c r="E56" s="19" t="s">
        <v>48</v>
      </c>
      <c r="F56" s="19" t="s">
        <v>48</v>
      </c>
      <c r="G56" s="19" t="s">
        <v>48</v>
      </c>
      <c r="H56" s="19" t="s">
        <v>48</v>
      </c>
      <c r="I56" s="19" t="s">
        <v>46</v>
      </c>
      <c r="J56" s="19" t="s">
        <v>46</v>
      </c>
      <c r="K56" s="19" t="s">
        <v>59</v>
      </c>
      <c r="L56" s="9" t="str">
        <f t="shared" si="37"/>
        <v>0,85</v>
      </c>
      <c r="M56" s="9">
        <f t="shared" si="38"/>
        <v>0.85499999999999998</v>
      </c>
      <c r="N56" s="9">
        <f t="shared" si="39"/>
        <v>0.87</v>
      </c>
      <c r="O56" s="9">
        <f t="shared" si="40"/>
        <v>0.88</v>
      </c>
      <c r="P56" s="9">
        <f t="shared" si="41"/>
        <v>0.875</v>
      </c>
      <c r="Q56" s="9">
        <f t="shared" si="42"/>
        <v>0.875</v>
      </c>
      <c r="R56" s="9">
        <f t="shared" si="43"/>
        <v>0.88</v>
      </c>
      <c r="S56" s="9">
        <f t="shared" si="44"/>
        <v>0.87</v>
      </c>
      <c r="T56" s="9">
        <f t="shared" si="45"/>
        <v>0.85499999999999998</v>
      </c>
      <c r="U56" s="16"/>
      <c r="V56" s="21">
        <v>20</v>
      </c>
      <c r="W56" s="18" t="s">
        <v>36</v>
      </c>
      <c r="X56" s="19" t="s">
        <v>70</v>
      </c>
      <c r="Y56" s="19" t="s">
        <v>55</v>
      </c>
      <c r="Z56" s="19" t="s">
        <v>55</v>
      </c>
      <c r="AA56" s="19" t="s">
        <v>59</v>
      </c>
      <c r="AB56" s="19" t="s">
        <v>59</v>
      </c>
      <c r="AC56" s="19" t="s">
        <v>51</v>
      </c>
      <c r="AD56" s="19" t="s">
        <v>51</v>
      </c>
      <c r="AE56" s="19" t="s">
        <v>51</v>
      </c>
      <c r="AF56" s="9" t="str">
        <f t="shared" si="46"/>
        <v>0,87</v>
      </c>
      <c r="AG56" s="9">
        <f t="shared" si="47"/>
        <v>0.87</v>
      </c>
      <c r="AH56" s="9">
        <f t="shared" si="48"/>
        <v>0.86</v>
      </c>
      <c r="AI56" s="9">
        <f t="shared" si="49"/>
        <v>0.83499999999999996</v>
      </c>
      <c r="AJ56" s="9">
        <f t="shared" si="50"/>
        <v>0.8</v>
      </c>
      <c r="AK56" s="9">
        <f t="shared" si="51"/>
        <v>0.8</v>
      </c>
      <c r="AL56" s="9">
        <f t="shared" si="52"/>
        <v>0.83499999999999996</v>
      </c>
      <c r="AM56" s="9">
        <f t="shared" si="53"/>
        <v>0.86</v>
      </c>
      <c r="AN56" s="9">
        <f t="shared" si="54"/>
        <v>0.87</v>
      </c>
    </row>
    <row r="57" spans="2:40">
      <c r="B57" s="7">
        <f>0.5*(B56+B58)</f>
        <v>22.5</v>
      </c>
      <c r="C57" s="7"/>
      <c r="D57" s="12">
        <f t="shared" ref="D57" si="160">0.5*(D56+D58)</f>
        <v>0.85499999999999998</v>
      </c>
      <c r="E57" s="12">
        <f t="shared" ref="E57" si="161">0.5*(E56+E58)</f>
        <v>0.86</v>
      </c>
      <c r="F57" s="12">
        <f t="shared" ref="F57" si="162">0.5*(F56+F58)</f>
        <v>0.86</v>
      </c>
      <c r="G57" s="12">
        <f t="shared" ref="G57" si="163">0.5*(G56+G58)</f>
        <v>0.86499999999999999</v>
      </c>
      <c r="H57" s="12">
        <f t="shared" ref="H57" si="164">0.5*(H56+H58)</f>
        <v>0.86499999999999999</v>
      </c>
      <c r="I57" s="12">
        <f t="shared" ref="I57" si="165">0.5*(I56+I58)</f>
        <v>0.84499999999999997</v>
      </c>
      <c r="J57" s="12">
        <f t="shared" ref="J57" si="166">0.5*(J56+J58)</f>
        <v>0.84499999999999997</v>
      </c>
      <c r="K57" s="12">
        <f t="shared" ref="K57" si="167">0.5*(K56+K58)</f>
        <v>0.83000000000000007</v>
      </c>
      <c r="L57" s="12">
        <f t="shared" ref="L57" si="168">0.5*(L56+L58)</f>
        <v>0.83000000000000007</v>
      </c>
      <c r="M57" s="12">
        <f t="shared" ref="M57" si="169">0.5*(M56+M58)</f>
        <v>0.83750000000000002</v>
      </c>
      <c r="N57" s="12">
        <f t="shared" ref="N57" si="170">0.5*(N56+N58)</f>
        <v>0.85499999999999998</v>
      </c>
      <c r="O57" s="12">
        <f t="shared" ref="O57" si="171">0.5*(O56+O58)</f>
        <v>0.86250000000000004</v>
      </c>
      <c r="P57" s="12">
        <f t="shared" ref="P57" si="172">0.5*(P56+P58)</f>
        <v>0.85749999999999993</v>
      </c>
      <c r="Q57" s="12">
        <f t="shared" ref="Q57" si="173">0.5*(Q56+Q58)</f>
        <v>0.85749999999999993</v>
      </c>
      <c r="R57" s="12">
        <f t="shared" ref="R57" si="174">0.5*(R56+R58)</f>
        <v>0.86250000000000004</v>
      </c>
      <c r="S57" s="12">
        <f t="shared" ref="S57" si="175">0.5*(S56+S58)</f>
        <v>0.85499999999999998</v>
      </c>
      <c r="T57" s="13">
        <f t="shared" ref="T57" si="176">0.5*(T56+T58)</f>
        <v>0.83750000000000002</v>
      </c>
      <c r="U57" s="14"/>
      <c r="V57" s="11">
        <f t="shared" ref="V57" si="177">0.5*(V56+V58)</f>
        <v>22.5</v>
      </c>
      <c r="W57" s="7"/>
      <c r="X57" s="12">
        <f t="shared" ref="X57" si="178">0.5*(X56+X58)</f>
        <v>0.755</v>
      </c>
      <c r="Y57" s="12">
        <f t="shared" ref="Y57" si="179">0.5*(Y56+Y58)</f>
        <v>0.79499999999999993</v>
      </c>
      <c r="Z57" s="12">
        <f t="shared" ref="Z57" si="180">0.5*(Z56+Z58)</f>
        <v>0.79499999999999993</v>
      </c>
      <c r="AA57" s="12">
        <f t="shared" ref="AA57" si="181">0.5*(AA56+AA58)</f>
        <v>0.83000000000000007</v>
      </c>
      <c r="AB57" s="12">
        <f t="shared" ref="AB57" si="182">0.5*(AB56+AB58)</f>
        <v>0.83000000000000007</v>
      </c>
      <c r="AC57" s="12">
        <f t="shared" ref="AC57" si="183">0.5*(AC56+AC58)</f>
        <v>0.85</v>
      </c>
      <c r="AD57" s="12">
        <f t="shared" ref="AD57" si="184">0.5*(AD56+AD58)</f>
        <v>0.85</v>
      </c>
      <c r="AE57" s="12">
        <f t="shared" ref="AE57" si="185">0.5*(AE56+AE58)</f>
        <v>0.85499999999999998</v>
      </c>
      <c r="AF57" s="12">
        <f t="shared" ref="AF57" si="186">0.5*(AF56+AF58)</f>
        <v>0.85499999999999998</v>
      </c>
      <c r="AG57" s="12">
        <f t="shared" ref="AG57" si="187">0.5*(AG56+AG58)</f>
        <v>0.85250000000000004</v>
      </c>
      <c r="AH57" s="12">
        <f t="shared" ref="AH57" si="188">0.5*(AH56+AH58)</f>
        <v>0.84000000000000008</v>
      </c>
      <c r="AI57" s="12">
        <f t="shared" ref="AI57" si="189">0.5*(AI56+AI58)</f>
        <v>0.8125</v>
      </c>
      <c r="AJ57" s="12">
        <f t="shared" ref="AJ57" si="190">0.5*(AJ56+AJ58)</f>
        <v>0.77500000000000002</v>
      </c>
      <c r="AK57" s="12">
        <f t="shared" ref="AK57" si="191">0.5*(AK56+AK58)</f>
        <v>0.77500000000000002</v>
      </c>
      <c r="AL57" s="12">
        <f t="shared" ref="AL57" si="192">0.5*(AL56+AL58)</f>
        <v>0.8125</v>
      </c>
      <c r="AM57" s="12">
        <f t="shared" ref="AM57" si="193">0.5*(AM56+AM58)</f>
        <v>0.84000000000000008</v>
      </c>
      <c r="AN57" s="12">
        <f t="shared" ref="AN57" si="194">0.5*(AN56+AN58)</f>
        <v>0.85250000000000004</v>
      </c>
    </row>
    <row r="58" spans="2:40">
      <c r="B58" s="17">
        <v>25</v>
      </c>
      <c r="C58" s="18" t="s">
        <v>34</v>
      </c>
      <c r="D58" s="19" t="s">
        <v>49</v>
      </c>
      <c r="E58" s="19" t="s">
        <v>49</v>
      </c>
      <c r="F58" s="19" t="s">
        <v>49</v>
      </c>
      <c r="G58" s="19" t="s">
        <v>59</v>
      </c>
      <c r="H58" s="19" t="s">
        <v>59</v>
      </c>
      <c r="I58" s="19" t="s">
        <v>54</v>
      </c>
      <c r="J58" s="19" t="s">
        <v>54</v>
      </c>
      <c r="K58" s="19" t="s">
        <v>60</v>
      </c>
      <c r="L58" s="9" t="str">
        <f t="shared" si="37"/>
        <v>0,81</v>
      </c>
      <c r="M58" s="9">
        <f t="shared" si="38"/>
        <v>0.82000000000000006</v>
      </c>
      <c r="N58" s="9">
        <f t="shared" si="39"/>
        <v>0.84</v>
      </c>
      <c r="O58" s="9">
        <f t="shared" si="40"/>
        <v>0.84499999999999997</v>
      </c>
      <c r="P58" s="9">
        <f t="shared" si="41"/>
        <v>0.84</v>
      </c>
      <c r="Q58" s="9">
        <f t="shared" si="42"/>
        <v>0.84</v>
      </c>
      <c r="R58" s="9">
        <f t="shared" si="43"/>
        <v>0.84499999999999997</v>
      </c>
      <c r="S58" s="9">
        <f t="shared" si="44"/>
        <v>0.84</v>
      </c>
      <c r="T58" s="9">
        <f t="shared" si="45"/>
        <v>0.82000000000000006</v>
      </c>
      <c r="U58" s="16"/>
      <c r="V58" s="21">
        <v>25</v>
      </c>
      <c r="W58" s="18" t="s">
        <v>36</v>
      </c>
      <c r="X58" s="19" t="s">
        <v>52</v>
      </c>
      <c r="Y58" s="19" t="s">
        <v>64</v>
      </c>
      <c r="Z58" s="19" t="s">
        <v>64</v>
      </c>
      <c r="AA58" s="19" t="s">
        <v>60</v>
      </c>
      <c r="AB58" s="19" t="s">
        <v>60</v>
      </c>
      <c r="AC58" s="19" t="s">
        <v>54</v>
      </c>
      <c r="AD58" s="19" t="s">
        <v>54</v>
      </c>
      <c r="AE58" s="19" t="s">
        <v>49</v>
      </c>
      <c r="AF58" s="9" t="str">
        <f t="shared" si="46"/>
        <v>0,84</v>
      </c>
      <c r="AG58" s="9">
        <f t="shared" si="47"/>
        <v>0.83499999999999996</v>
      </c>
      <c r="AH58" s="9">
        <f t="shared" si="48"/>
        <v>0.82000000000000006</v>
      </c>
      <c r="AI58" s="9">
        <f t="shared" si="49"/>
        <v>0.79</v>
      </c>
      <c r="AJ58" s="9">
        <f t="shared" si="50"/>
        <v>0.75</v>
      </c>
      <c r="AK58" s="9">
        <f t="shared" si="51"/>
        <v>0.75</v>
      </c>
      <c r="AL58" s="9">
        <f t="shared" si="52"/>
        <v>0.79</v>
      </c>
      <c r="AM58" s="9">
        <f t="shared" si="53"/>
        <v>0.82000000000000006</v>
      </c>
      <c r="AN58" s="9">
        <f t="shared" si="54"/>
        <v>0.83499999999999996</v>
      </c>
    </row>
    <row r="59" spans="2:40">
      <c r="B59" s="7">
        <f>0.5*(B58+B60)</f>
        <v>27.5</v>
      </c>
      <c r="C59" s="7"/>
      <c r="D59" s="12">
        <f t="shared" ref="D59" si="195">0.5*(D58+D60)</f>
        <v>0.82000000000000006</v>
      </c>
      <c r="E59" s="12">
        <f t="shared" ref="E59" si="196">0.5*(E58+E60)</f>
        <v>0.82499999999999996</v>
      </c>
      <c r="F59" s="12">
        <f t="shared" ref="F59" si="197">0.5*(F58+F60)</f>
        <v>0.82499999999999996</v>
      </c>
      <c r="G59" s="12">
        <f t="shared" ref="G59" si="198">0.5*(G58+G60)</f>
        <v>0.83499999999999996</v>
      </c>
      <c r="H59" s="12">
        <f t="shared" ref="H59" si="199">0.5*(H58+H60)</f>
        <v>0.83499999999999996</v>
      </c>
      <c r="I59" s="12">
        <f t="shared" ref="I59" si="200">0.5*(I58+I60)</f>
        <v>0.81499999999999995</v>
      </c>
      <c r="J59" s="12">
        <f t="shared" ref="J59" si="201">0.5*(J58+J60)</f>
        <v>0.81499999999999995</v>
      </c>
      <c r="K59" s="12">
        <f t="shared" ref="K59" si="202">0.5*(K58+K60)</f>
        <v>0.79</v>
      </c>
      <c r="L59" s="12">
        <f t="shared" ref="L59" si="203">0.5*(L58+L60)</f>
        <v>0.79</v>
      </c>
      <c r="M59" s="12">
        <f t="shared" ref="M59" si="204">0.5*(M58+M60)</f>
        <v>0.80249999999999999</v>
      </c>
      <c r="N59" s="12">
        <f t="shared" ref="N59" si="205">0.5*(N58+N60)</f>
        <v>0.82499999999999996</v>
      </c>
      <c r="O59" s="12">
        <f t="shared" ref="O59" si="206">0.5*(O58+O60)</f>
        <v>0.83</v>
      </c>
      <c r="P59" s="12">
        <f t="shared" ref="P59" si="207">0.5*(P58+P60)</f>
        <v>0.82250000000000001</v>
      </c>
      <c r="Q59" s="12">
        <f t="shared" ref="Q59" si="208">0.5*(Q58+Q60)</f>
        <v>0.82250000000000001</v>
      </c>
      <c r="R59" s="12">
        <f t="shared" ref="R59" si="209">0.5*(R58+R60)</f>
        <v>0.83</v>
      </c>
      <c r="S59" s="12">
        <f t="shared" ref="S59" si="210">0.5*(S58+S60)</f>
        <v>0.82499999999999996</v>
      </c>
      <c r="T59" s="13">
        <f t="shared" ref="T59" si="211">0.5*(T58+T60)</f>
        <v>0.80249999999999999</v>
      </c>
      <c r="U59" s="14"/>
      <c r="V59" s="11">
        <f t="shared" ref="V59" si="212">0.5*(V58+V60)</f>
        <v>27.5</v>
      </c>
      <c r="W59" s="7"/>
      <c r="X59" s="12">
        <f t="shared" ref="X59" si="213">0.5*(X58+X60)</f>
        <v>0.7</v>
      </c>
      <c r="Y59" s="12">
        <f t="shared" ref="Y59" si="214">0.5*(Y58+Y60)</f>
        <v>0.745</v>
      </c>
      <c r="Z59" s="12">
        <f t="shared" ref="Z59" si="215">0.5*(Z58+Z60)</f>
        <v>0.745</v>
      </c>
      <c r="AA59" s="12">
        <f t="shared" ref="AA59" si="216">0.5*(AA58+AA60)</f>
        <v>0.79</v>
      </c>
      <c r="AB59" s="12">
        <f t="shared" ref="AB59" si="217">0.5*(AB58+AB60)</f>
        <v>0.79</v>
      </c>
      <c r="AC59" s="12">
        <f t="shared" ref="AC59" si="218">0.5*(AC58+AC60)</f>
        <v>0.81499999999999995</v>
      </c>
      <c r="AD59" s="12">
        <f t="shared" ref="AD59" si="219">0.5*(AD58+AD60)</f>
        <v>0.81499999999999995</v>
      </c>
      <c r="AE59" s="12">
        <f t="shared" ref="AE59" si="220">0.5*(AE58+AE60)</f>
        <v>0.82000000000000006</v>
      </c>
      <c r="AF59" s="12">
        <f t="shared" ref="AF59" si="221">0.5*(AF58+AF60)</f>
        <v>0.82000000000000006</v>
      </c>
      <c r="AG59" s="12">
        <f t="shared" ref="AG59" si="222">0.5*(AG58+AG60)</f>
        <v>0.8175</v>
      </c>
      <c r="AH59" s="12">
        <f t="shared" ref="AH59" si="223">0.5*(AH58+AH60)</f>
        <v>0.80249999999999999</v>
      </c>
      <c r="AI59" s="12">
        <f t="shared" ref="AI59" si="224">0.5*(AI58+AI60)</f>
        <v>0.76750000000000007</v>
      </c>
      <c r="AJ59" s="12">
        <f t="shared" ref="AJ59" si="225">0.5*(AJ58+AJ60)</f>
        <v>0.72250000000000003</v>
      </c>
      <c r="AK59" s="12">
        <f t="shared" ref="AK59" si="226">0.5*(AK58+AK60)</f>
        <v>0.72250000000000003</v>
      </c>
      <c r="AL59" s="12">
        <f t="shared" ref="AL59" si="227">0.5*(AL58+AL60)</f>
        <v>0.76750000000000007</v>
      </c>
      <c r="AM59" s="12">
        <f t="shared" ref="AM59" si="228">0.5*(AM58+AM60)</f>
        <v>0.80249999999999999</v>
      </c>
      <c r="AN59" s="12">
        <f t="shared" ref="AN59" si="229">0.5*(AN58+AN60)</f>
        <v>0.8175</v>
      </c>
    </row>
    <row r="60" spans="2:40">
      <c r="B60" s="17">
        <v>30</v>
      </c>
      <c r="C60" s="18" t="s">
        <v>34</v>
      </c>
      <c r="D60" s="19" t="s">
        <v>50</v>
      </c>
      <c r="E60" s="19" t="s">
        <v>60</v>
      </c>
      <c r="F60" s="19" t="s">
        <v>60</v>
      </c>
      <c r="G60" s="19" t="s">
        <v>55</v>
      </c>
      <c r="H60" s="19" t="s">
        <v>55</v>
      </c>
      <c r="I60" s="19" t="s">
        <v>50</v>
      </c>
      <c r="J60" s="19" t="s">
        <v>50</v>
      </c>
      <c r="K60" s="19" t="s">
        <v>64</v>
      </c>
      <c r="L60" s="9" t="str">
        <f t="shared" si="37"/>
        <v>0,77</v>
      </c>
      <c r="M60" s="9">
        <f t="shared" si="38"/>
        <v>0.78500000000000003</v>
      </c>
      <c r="N60" s="9">
        <f t="shared" si="39"/>
        <v>0.81</v>
      </c>
      <c r="O60" s="9">
        <f t="shared" si="40"/>
        <v>0.81499999999999995</v>
      </c>
      <c r="P60" s="9">
        <f t="shared" si="41"/>
        <v>0.80500000000000005</v>
      </c>
      <c r="Q60" s="9">
        <f t="shared" si="42"/>
        <v>0.80500000000000005</v>
      </c>
      <c r="R60" s="9">
        <f t="shared" si="43"/>
        <v>0.81499999999999995</v>
      </c>
      <c r="S60" s="9">
        <f t="shared" si="44"/>
        <v>0.81</v>
      </c>
      <c r="T60" s="9">
        <f t="shared" si="45"/>
        <v>0.78500000000000003</v>
      </c>
      <c r="U60" s="16"/>
      <c r="V60" s="21">
        <v>30</v>
      </c>
      <c r="W60" s="18" t="s">
        <v>36</v>
      </c>
      <c r="X60" s="19" t="s">
        <v>76</v>
      </c>
      <c r="Y60" s="19" t="s">
        <v>53</v>
      </c>
      <c r="Z60" s="19" t="s">
        <v>53</v>
      </c>
      <c r="AA60" s="19" t="s">
        <v>64</v>
      </c>
      <c r="AB60" s="19" t="s">
        <v>64</v>
      </c>
      <c r="AC60" s="19" t="s">
        <v>50</v>
      </c>
      <c r="AD60" s="19" t="s">
        <v>50</v>
      </c>
      <c r="AE60" s="19" t="s">
        <v>50</v>
      </c>
      <c r="AF60" s="9" t="str">
        <f t="shared" si="46"/>
        <v>0,80</v>
      </c>
      <c r="AG60" s="9">
        <f t="shared" si="47"/>
        <v>0.8</v>
      </c>
      <c r="AH60" s="9">
        <f t="shared" si="48"/>
        <v>0.78500000000000003</v>
      </c>
      <c r="AI60" s="9">
        <f t="shared" si="49"/>
        <v>0.745</v>
      </c>
      <c r="AJ60" s="9">
        <f t="shared" si="50"/>
        <v>0.69500000000000006</v>
      </c>
      <c r="AK60" s="9">
        <f t="shared" si="51"/>
        <v>0.69500000000000006</v>
      </c>
      <c r="AL60" s="9">
        <f t="shared" si="52"/>
        <v>0.745</v>
      </c>
      <c r="AM60" s="9">
        <f t="shared" si="53"/>
        <v>0.78500000000000003</v>
      </c>
      <c r="AN60" s="9">
        <f t="shared" si="54"/>
        <v>0.8</v>
      </c>
    </row>
    <row r="61" spans="2:40">
      <c r="B61" s="7">
        <f>0.5*(B60+B62)</f>
        <v>32.5</v>
      </c>
      <c r="C61" s="7"/>
      <c r="D61" s="12">
        <f t="shared" ref="D61" si="230">0.5*(D60+D62)</f>
        <v>0.78</v>
      </c>
      <c r="E61" s="12">
        <f t="shared" ref="E61" si="231">0.5*(E60+E62)</f>
        <v>0.79</v>
      </c>
      <c r="F61" s="12">
        <f t="shared" ref="F61" si="232">0.5*(F60+F62)</f>
        <v>0.79</v>
      </c>
      <c r="G61" s="12">
        <f t="shared" ref="G61" si="233">0.5*(G60+G62)</f>
        <v>0.8</v>
      </c>
      <c r="H61" s="12">
        <f t="shared" ref="H61" si="234">0.5*(H60+H62)</f>
        <v>0.8</v>
      </c>
      <c r="I61" s="12">
        <f t="shared" ref="I61" si="235">0.5*(I60+I62)</f>
        <v>0.78</v>
      </c>
      <c r="J61" s="12">
        <f t="shared" ref="J61" si="236">0.5*(J60+J62)</f>
        <v>0.78</v>
      </c>
      <c r="K61" s="12">
        <f t="shared" ref="K61" si="237">0.5*(K60+K62)</f>
        <v>0.755</v>
      </c>
      <c r="L61" s="12">
        <f t="shared" ref="L61" si="238">0.5*(L60+L62)</f>
        <v>0.755</v>
      </c>
      <c r="M61" s="12">
        <f t="shared" ref="M61" si="239">0.5*(M60+M62)</f>
        <v>0.76750000000000007</v>
      </c>
      <c r="N61" s="12">
        <f t="shared" ref="N61" si="240">0.5*(N60+N62)</f>
        <v>0.79</v>
      </c>
      <c r="O61" s="12">
        <f t="shared" ref="O61" si="241">0.5*(O60+O62)</f>
        <v>0.79499999999999993</v>
      </c>
      <c r="P61" s="12">
        <f t="shared" ref="P61" si="242">0.5*(P60+P62)</f>
        <v>0.78500000000000003</v>
      </c>
      <c r="Q61" s="12">
        <f t="shared" ref="Q61" si="243">0.5*(Q60+Q62)</f>
        <v>0.78500000000000003</v>
      </c>
      <c r="R61" s="12">
        <f t="shared" ref="R61" si="244">0.5*(R60+R62)</f>
        <v>0.79499999999999993</v>
      </c>
      <c r="S61" s="12">
        <f t="shared" ref="S61" si="245">0.5*(S60+S62)</f>
        <v>0.79</v>
      </c>
      <c r="T61" s="13">
        <f t="shared" ref="T61" si="246">0.5*(T60+T62)</f>
        <v>0.76750000000000007</v>
      </c>
      <c r="U61" s="14"/>
      <c r="V61" s="11">
        <f t="shared" ref="V61" si="247">0.5*(V60+V62)</f>
        <v>32.5</v>
      </c>
      <c r="W61" s="7"/>
      <c r="X61" s="12">
        <f t="shared" ref="X61" si="248">0.5*(X60+X62)</f>
        <v>0.64</v>
      </c>
      <c r="Y61" s="12">
        <f t="shared" ref="Y61" si="249">0.5*(Y60+Y62)</f>
        <v>0.69500000000000006</v>
      </c>
      <c r="Z61" s="12">
        <f t="shared" ref="Z61" si="250">0.5*(Z60+Z62)</f>
        <v>0.69500000000000006</v>
      </c>
      <c r="AA61" s="12">
        <f t="shared" ref="AA61" si="251">0.5*(AA60+AA62)</f>
        <v>0.745</v>
      </c>
      <c r="AB61" s="12">
        <f t="shared" ref="AB61" si="252">0.5*(AB60+AB62)</f>
        <v>0.745</v>
      </c>
      <c r="AC61" s="12">
        <f t="shared" ref="AC61" si="253">0.5*(AC60+AC62)</f>
        <v>0.78</v>
      </c>
      <c r="AD61" s="12">
        <f t="shared" ref="AD61" si="254">0.5*(AD60+AD62)</f>
        <v>0.78</v>
      </c>
      <c r="AE61" s="12">
        <f t="shared" ref="AE61" si="255">0.5*(AE60+AE62)</f>
        <v>0.78500000000000003</v>
      </c>
      <c r="AF61" s="12">
        <f t="shared" ref="AF61" si="256">0.5*(AF60+AF62)</f>
        <v>0.78500000000000003</v>
      </c>
      <c r="AG61" s="12">
        <f t="shared" ref="AG61" si="257">0.5*(AG60+AG62)</f>
        <v>0.78249999999999997</v>
      </c>
      <c r="AH61" s="12">
        <f t="shared" ref="AH61" si="258">0.5*(AH60+AH62)</f>
        <v>0.76249999999999996</v>
      </c>
      <c r="AI61" s="12">
        <f t="shared" ref="AI61" si="259">0.5*(AI60+AI62)</f>
        <v>0.72</v>
      </c>
      <c r="AJ61" s="12">
        <f t="shared" ref="AJ61" si="260">0.5*(AJ60+AJ62)</f>
        <v>0.66749999999999998</v>
      </c>
      <c r="AK61" s="12">
        <f t="shared" ref="AK61" si="261">0.5*(AK60+AK62)</f>
        <v>0.66749999999999998</v>
      </c>
      <c r="AL61" s="12">
        <f t="shared" ref="AL61" si="262">0.5*(AL60+AL62)</f>
        <v>0.72</v>
      </c>
      <c r="AM61" s="12">
        <f t="shared" ref="AM61" si="263">0.5*(AM60+AM62)</f>
        <v>0.76249999999999996</v>
      </c>
      <c r="AN61" s="12">
        <f t="shared" ref="AN61" si="264">0.5*(AN60+AN62)</f>
        <v>0.78249999999999997</v>
      </c>
    </row>
    <row r="62" spans="2:40">
      <c r="B62" s="17">
        <v>35</v>
      </c>
      <c r="C62" s="18" t="s">
        <v>34</v>
      </c>
      <c r="D62" s="22" t="s">
        <v>91</v>
      </c>
      <c r="E62" s="22" t="s">
        <v>64</v>
      </c>
      <c r="F62" s="22" t="s">
        <v>64</v>
      </c>
      <c r="G62" s="22" t="s">
        <v>70</v>
      </c>
      <c r="H62" s="22" t="s">
        <v>70</v>
      </c>
      <c r="I62" s="22" t="s">
        <v>91</v>
      </c>
      <c r="J62" s="22" t="s">
        <v>91</v>
      </c>
      <c r="K62" s="22" t="s">
        <v>74</v>
      </c>
      <c r="L62" s="9" t="str">
        <f t="shared" si="37"/>
        <v>0,74</v>
      </c>
      <c r="M62" s="9">
        <f t="shared" si="38"/>
        <v>0.75</v>
      </c>
      <c r="N62" s="9">
        <f t="shared" si="39"/>
        <v>0.77</v>
      </c>
      <c r="O62" s="9">
        <f t="shared" si="40"/>
        <v>0.77500000000000002</v>
      </c>
      <c r="P62" s="9">
        <f t="shared" si="41"/>
        <v>0.76500000000000001</v>
      </c>
      <c r="Q62" s="9">
        <f t="shared" si="42"/>
        <v>0.76500000000000001</v>
      </c>
      <c r="R62" s="9">
        <f t="shared" si="43"/>
        <v>0.77500000000000002</v>
      </c>
      <c r="S62" s="9">
        <f t="shared" si="44"/>
        <v>0.77</v>
      </c>
      <c r="T62" s="9">
        <f t="shared" si="45"/>
        <v>0.75</v>
      </c>
      <c r="U62" s="16"/>
      <c r="V62" s="21">
        <v>35</v>
      </c>
      <c r="W62" s="18" t="s">
        <v>36</v>
      </c>
      <c r="X62" s="19" t="s">
        <v>56</v>
      </c>
      <c r="Y62" s="19" t="s">
        <v>76</v>
      </c>
      <c r="Z62" s="19" t="s">
        <v>76</v>
      </c>
      <c r="AA62" s="19" t="s">
        <v>53</v>
      </c>
      <c r="AB62" s="19" t="s">
        <v>53</v>
      </c>
      <c r="AC62" s="19" t="s">
        <v>91</v>
      </c>
      <c r="AD62" s="19" t="s">
        <v>91</v>
      </c>
      <c r="AE62" s="19" t="s">
        <v>64</v>
      </c>
      <c r="AF62" s="9" t="str">
        <f t="shared" si="46"/>
        <v>0,77</v>
      </c>
      <c r="AG62" s="9">
        <f t="shared" si="47"/>
        <v>0.76500000000000001</v>
      </c>
      <c r="AH62" s="9">
        <f t="shared" si="48"/>
        <v>0.74</v>
      </c>
      <c r="AI62" s="9">
        <f t="shared" si="49"/>
        <v>0.69500000000000006</v>
      </c>
      <c r="AJ62" s="9">
        <f t="shared" si="50"/>
        <v>0.64</v>
      </c>
      <c r="AK62" s="9">
        <f t="shared" si="51"/>
        <v>0.64</v>
      </c>
      <c r="AL62" s="9">
        <f t="shared" si="52"/>
        <v>0.69500000000000006</v>
      </c>
      <c r="AM62" s="9">
        <f t="shared" si="53"/>
        <v>0.74</v>
      </c>
      <c r="AN62" s="9">
        <f t="shared" si="54"/>
        <v>0.76500000000000001</v>
      </c>
    </row>
    <row r="63" spans="2:40">
      <c r="B63" s="7">
        <f>0.5*(B62+B64)</f>
        <v>37.5</v>
      </c>
      <c r="C63" s="7"/>
      <c r="D63" s="12">
        <f t="shared" ref="D63" si="265">0.5*(D62+D64)</f>
        <v>0.74</v>
      </c>
      <c r="E63" s="12">
        <f t="shared" ref="E63" si="266">0.5*(E62+E64)</f>
        <v>0.75</v>
      </c>
      <c r="F63" s="12">
        <f t="shared" ref="F63" si="267">0.5*(F62+F64)</f>
        <v>0.75</v>
      </c>
      <c r="G63" s="12">
        <f t="shared" ref="G63" si="268">0.5*(G62+G64)</f>
        <v>0.76500000000000001</v>
      </c>
      <c r="H63" s="12">
        <f t="shared" ref="H63" si="269">0.5*(H62+H64)</f>
        <v>0.76500000000000001</v>
      </c>
      <c r="I63" s="12">
        <f t="shared" ref="I63" si="270">0.5*(I62+I64)</f>
        <v>0.745</v>
      </c>
      <c r="J63" s="12">
        <f t="shared" ref="J63" si="271">0.5*(J62+J64)</f>
        <v>0.745</v>
      </c>
      <c r="K63" s="12">
        <f t="shared" ref="K63" si="272">0.5*(K62+K64)</f>
        <v>0.72</v>
      </c>
      <c r="L63" s="12">
        <f t="shared" ref="L63" si="273">0.5*(L62+L64)</f>
        <v>0.72</v>
      </c>
      <c r="M63" s="12">
        <f t="shared" ref="M63" si="274">0.5*(M62+M64)</f>
        <v>0.73249999999999993</v>
      </c>
      <c r="N63" s="12">
        <f t="shared" ref="N63" si="275">0.5*(N62+N64)</f>
        <v>0.755</v>
      </c>
      <c r="O63" s="12">
        <f t="shared" ref="O63" si="276">0.5*(O62+O64)</f>
        <v>0.75750000000000006</v>
      </c>
      <c r="P63" s="12">
        <f t="shared" ref="P63" si="277">0.5*(P62+P64)</f>
        <v>0.745</v>
      </c>
      <c r="Q63" s="12">
        <f t="shared" ref="Q63" si="278">0.5*(Q62+Q64)</f>
        <v>0.745</v>
      </c>
      <c r="R63" s="12">
        <f t="shared" ref="R63" si="279">0.5*(R62+R64)</f>
        <v>0.75750000000000006</v>
      </c>
      <c r="S63" s="12">
        <f t="shared" ref="S63" si="280">0.5*(S62+S64)</f>
        <v>0.755</v>
      </c>
      <c r="T63" s="13">
        <f t="shared" ref="T63" si="281">0.5*(T62+T64)</f>
        <v>0.73249999999999993</v>
      </c>
      <c r="U63" s="14"/>
      <c r="V63" s="11">
        <f t="shared" ref="V63" si="282">0.5*(V62+V64)</f>
        <v>37.5</v>
      </c>
      <c r="W63" s="7"/>
      <c r="X63" s="12">
        <f t="shared" ref="X63" si="283">0.5*(X62+X64)</f>
        <v>0.58499999999999996</v>
      </c>
      <c r="Y63" s="12">
        <f t="shared" ref="Y63" si="284">0.5*(Y62+Y64)</f>
        <v>0.64500000000000002</v>
      </c>
      <c r="Z63" s="12">
        <f t="shared" ref="Z63" si="285">0.5*(Z62+Z64)</f>
        <v>0.64500000000000002</v>
      </c>
      <c r="AA63" s="12">
        <f t="shared" ref="AA63" si="286">0.5*(AA62+AA64)</f>
        <v>0.7</v>
      </c>
      <c r="AB63" s="12">
        <f t="shared" ref="AB63" si="287">0.5*(AB62+AB64)</f>
        <v>0.7</v>
      </c>
      <c r="AC63" s="12">
        <f t="shared" ref="AC63" si="288">0.5*(AC62+AC64)</f>
        <v>0.74</v>
      </c>
      <c r="AD63" s="12">
        <f t="shared" ref="AD63" si="289">0.5*(AD62+AD64)</f>
        <v>0.74</v>
      </c>
      <c r="AE63" s="12">
        <f t="shared" ref="AE63" si="290">0.5*(AE62+AE64)</f>
        <v>0.755</v>
      </c>
      <c r="AF63" s="12">
        <f t="shared" ref="AF63" si="291">0.5*(AF62+AF64)</f>
        <v>0.755</v>
      </c>
      <c r="AG63" s="12">
        <f t="shared" ref="AG63" si="292">0.5*(AG62+AG64)</f>
        <v>0.74750000000000005</v>
      </c>
      <c r="AH63" s="12">
        <f t="shared" ref="AH63" si="293">0.5*(AH62+AH64)</f>
        <v>0.72</v>
      </c>
      <c r="AI63" s="12">
        <f t="shared" ref="AI63" si="294">0.5*(AI62+AI64)</f>
        <v>0.6725000000000001</v>
      </c>
      <c r="AJ63" s="12">
        <f t="shared" ref="AJ63" si="295">0.5*(AJ62+AJ64)</f>
        <v>0.61499999999999999</v>
      </c>
      <c r="AK63" s="12">
        <f t="shared" ref="AK63" si="296">0.5*(AK62+AK64)</f>
        <v>0.61499999999999999</v>
      </c>
      <c r="AL63" s="12">
        <f t="shared" ref="AL63" si="297">0.5*(AL62+AL64)</f>
        <v>0.6725000000000001</v>
      </c>
      <c r="AM63" s="12">
        <f t="shared" ref="AM63" si="298">0.5*(AM62+AM64)</f>
        <v>0.72</v>
      </c>
      <c r="AN63" s="12">
        <f t="shared" ref="AN63" si="299">0.5*(AN62+AN64)</f>
        <v>0.74750000000000005</v>
      </c>
    </row>
    <row r="64" spans="2:40">
      <c r="B64" s="17">
        <v>40</v>
      </c>
      <c r="C64" s="18" t="s">
        <v>34</v>
      </c>
      <c r="D64" s="22" t="s">
        <v>53</v>
      </c>
      <c r="E64" s="22" t="s">
        <v>52</v>
      </c>
      <c r="F64" s="22" t="s">
        <v>52</v>
      </c>
      <c r="G64" s="22" t="s">
        <v>92</v>
      </c>
      <c r="H64" s="22" t="s">
        <v>92</v>
      </c>
      <c r="I64" s="22" t="s">
        <v>52</v>
      </c>
      <c r="J64" s="22" t="s">
        <v>52</v>
      </c>
      <c r="K64" s="22" t="s">
        <v>72</v>
      </c>
      <c r="L64" s="9" t="str">
        <f t="shared" si="37"/>
        <v>0,70</v>
      </c>
      <c r="M64" s="9">
        <f t="shared" si="38"/>
        <v>0.71499999999999997</v>
      </c>
      <c r="N64" s="9">
        <f t="shared" si="39"/>
        <v>0.74</v>
      </c>
      <c r="O64" s="9">
        <f t="shared" si="40"/>
        <v>0.74</v>
      </c>
      <c r="P64" s="9">
        <f t="shared" si="41"/>
        <v>0.72499999999999998</v>
      </c>
      <c r="Q64" s="9">
        <f t="shared" si="42"/>
        <v>0.72499999999999998</v>
      </c>
      <c r="R64" s="9">
        <f t="shared" si="43"/>
        <v>0.74</v>
      </c>
      <c r="S64" s="9">
        <f t="shared" si="44"/>
        <v>0.74</v>
      </c>
      <c r="T64" s="9">
        <f t="shared" si="45"/>
        <v>0.71499999999999997</v>
      </c>
      <c r="U64" s="16"/>
      <c r="V64" s="21">
        <v>40</v>
      </c>
      <c r="W64" s="18" t="s">
        <v>36</v>
      </c>
      <c r="X64" s="19" t="s">
        <v>93</v>
      </c>
      <c r="Y64" s="19" t="s">
        <v>57</v>
      </c>
      <c r="Z64" s="19" t="s">
        <v>57</v>
      </c>
      <c r="AA64" s="19" t="s">
        <v>71</v>
      </c>
      <c r="AB64" s="19" t="s">
        <v>71</v>
      </c>
      <c r="AC64" s="19" t="s">
        <v>53</v>
      </c>
      <c r="AD64" s="19" t="s">
        <v>53</v>
      </c>
      <c r="AE64" s="19" t="s">
        <v>74</v>
      </c>
      <c r="AF64" s="9" t="str">
        <f t="shared" si="46"/>
        <v>0,74</v>
      </c>
      <c r="AG64" s="9">
        <f t="shared" si="47"/>
        <v>0.73</v>
      </c>
      <c r="AH64" s="9">
        <f t="shared" si="48"/>
        <v>0.7</v>
      </c>
      <c r="AI64" s="9">
        <f t="shared" si="49"/>
        <v>0.65</v>
      </c>
      <c r="AJ64" s="9">
        <f t="shared" si="50"/>
        <v>0.59000000000000008</v>
      </c>
      <c r="AK64" s="9">
        <f t="shared" si="51"/>
        <v>0.59000000000000008</v>
      </c>
      <c r="AL64" s="9">
        <f t="shared" si="52"/>
        <v>0.65</v>
      </c>
      <c r="AM64" s="9">
        <f t="shared" si="53"/>
        <v>0.7</v>
      </c>
      <c r="AN64" s="9">
        <f t="shared" si="54"/>
        <v>0.73</v>
      </c>
    </row>
    <row r="65" spans="2:40">
      <c r="B65" s="7">
        <f>0.5*(B64+B66)</f>
        <v>42.5</v>
      </c>
      <c r="C65" s="7"/>
      <c r="D65" s="12">
        <f t="shared" ref="D65" si="300">0.5*(D64+D66)</f>
        <v>0.7</v>
      </c>
      <c r="E65" s="12">
        <f t="shared" ref="E65" si="301">0.5*(E64+E66)</f>
        <v>0.71</v>
      </c>
      <c r="F65" s="12">
        <f t="shared" ref="F65" si="302">0.5*(F64+F66)</f>
        <v>0.71</v>
      </c>
      <c r="G65" s="12">
        <f t="shared" ref="G65" si="303">0.5*(G64+G66)</f>
        <v>0.72499999999999998</v>
      </c>
      <c r="H65" s="12">
        <f t="shared" ref="H65" si="304">0.5*(H64+H66)</f>
        <v>0.72499999999999998</v>
      </c>
      <c r="I65" s="12">
        <f t="shared" ref="I65" si="305">0.5*(I64+I66)</f>
        <v>0.71</v>
      </c>
      <c r="J65" s="12">
        <f t="shared" ref="J65" si="306">0.5*(J64+J66)</f>
        <v>0.71</v>
      </c>
      <c r="K65" s="12">
        <f t="shared" ref="K65" si="307">0.5*(K64+K66)</f>
        <v>0.67999999999999994</v>
      </c>
      <c r="L65" s="12">
        <f t="shared" ref="L65" si="308">0.5*(L64+L66)</f>
        <v>0.67999999999999994</v>
      </c>
      <c r="M65" s="12">
        <f t="shared" ref="M65" si="309">0.5*(M64+M66)</f>
        <v>0.69500000000000006</v>
      </c>
      <c r="N65" s="12">
        <f t="shared" ref="N65" si="310">0.5*(N64+N66)</f>
        <v>0.71750000000000003</v>
      </c>
      <c r="O65" s="12">
        <f t="shared" ref="O65" si="311">0.5*(O64+O66)</f>
        <v>0.71750000000000003</v>
      </c>
      <c r="P65" s="12">
        <f t="shared" ref="P65" si="312">0.5*(P64+P66)</f>
        <v>0.70500000000000007</v>
      </c>
      <c r="Q65" s="12">
        <f t="shared" ref="Q65" si="313">0.5*(Q64+Q66)</f>
        <v>0.70500000000000007</v>
      </c>
      <c r="R65" s="12">
        <f t="shared" ref="R65" si="314">0.5*(R64+R66)</f>
        <v>0.71750000000000003</v>
      </c>
      <c r="S65" s="12">
        <f t="shared" ref="S65" si="315">0.5*(S64+S66)</f>
        <v>0.71750000000000003</v>
      </c>
      <c r="T65" s="13">
        <f t="shared" ref="T65" si="316">0.5*(T64+T66)</f>
        <v>0.69500000000000006</v>
      </c>
      <c r="U65" s="14"/>
      <c r="V65" s="11">
        <f t="shared" ref="V65" si="317">0.5*(V64+V66)</f>
        <v>42.5</v>
      </c>
      <c r="W65" s="7"/>
      <c r="X65" s="12">
        <f t="shared" ref="X65" si="318">0.5*(X64+X66)</f>
        <v>0.53500000000000003</v>
      </c>
      <c r="Y65" s="12">
        <f t="shared" ref="Y65" si="319">0.5*(Y64+Y66)</f>
        <v>0.59499999999999997</v>
      </c>
      <c r="Z65" s="12">
        <f t="shared" ref="Z65" si="320">0.5*(Z64+Z66)</f>
        <v>0.59499999999999997</v>
      </c>
      <c r="AA65" s="12">
        <f t="shared" ref="AA65" si="321">0.5*(AA64+AA66)</f>
        <v>0.65500000000000003</v>
      </c>
      <c r="AB65" s="12">
        <f t="shared" ref="AB65" si="322">0.5*(AB64+AB66)</f>
        <v>0.65500000000000003</v>
      </c>
      <c r="AC65" s="12">
        <f t="shared" ref="AC65" si="323">0.5*(AC64+AC66)</f>
        <v>0.7</v>
      </c>
      <c r="AD65" s="12">
        <f t="shared" ref="AD65" si="324">0.5*(AD64+AD66)</f>
        <v>0.7</v>
      </c>
      <c r="AE65" s="12">
        <f t="shared" ref="AE65" si="325">0.5*(AE64+AE66)</f>
        <v>0.72</v>
      </c>
      <c r="AF65" s="12">
        <f t="shared" ref="AF65" si="326">0.5*(AF64+AF66)</f>
        <v>0.72</v>
      </c>
      <c r="AG65" s="12">
        <f t="shared" ref="AG65" si="327">0.5*(AG64+AG66)</f>
        <v>0.71</v>
      </c>
      <c r="AH65" s="12">
        <f t="shared" ref="AH65" si="328">0.5*(AH64+AH66)</f>
        <v>0.67749999999999999</v>
      </c>
      <c r="AI65" s="12">
        <f t="shared" ref="AI65" si="329">0.5*(AI64+AI66)</f>
        <v>0.625</v>
      </c>
      <c r="AJ65" s="12">
        <f t="shared" ref="AJ65" si="330">0.5*(AJ64+AJ66)</f>
        <v>0.56500000000000006</v>
      </c>
      <c r="AK65" s="12">
        <f t="shared" ref="AK65" si="331">0.5*(AK64+AK66)</f>
        <v>0.56500000000000006</v>
      </c>
      <c r="AL65" s="12">
        <f t="shared" ref="AL65" si="332">0.5*(AL64+AL66)</f>
        <v>0.625</v>
      </c>
      <c r="AM65" s="12">
        <f t="shared" ref="AM65" si="333">0.5*(AM64+AM66)</f>
        <v>0.67749999999999999</v>
      </c>
      <c r="AN65" s="12">
        <f t="shared" ref="AN65" si="334">0.5*(AN64+AN66)</f>
        <v>0.71</v>
      </c>
    </row>
    <row r="66" spans="2:40">
      <c r="B66" s="17">
        <v>45</v>
      </c>
      <c r="C66" s="18" t="s">
        <v>34</v>
      </c>
      <c r="D66" s="22" t="s">
        <v>71</v>
      </c>
      <c r="E66" s="22" t="s">
        <v>94</v>
      </c>
      <c r="F66" s="22" t="s">
        <v>94</v>
      </c>
      <c r="G66" s="22" t="s">
        <v>72</v>
      </c>
      <c r="H66" s="22" t="s">
        <v>72</v>
      </c>
      <c r="I66" s="22" t="s">
        <v>94</v>
      </c>
      <c r="J66" s="22" t="s">
        <v>94</v>
      </c>
      <c r="K66" s="22" t="s">
        <v>95</v>
      </c>
      <c r="L66" s="9" t="str">
        <f t="shared" si="37"/>
        <v>0,66</v>
      </c>
      <c r="M66" s="9">
        <f t="shared" si="38"/>
        <v>0.67500000000000004</v>
      </c>
      <c r="N66" s="9">
        <f t="shared" si="39"/>
        <v>0.69499999999999995</v>
      </c>
      <c r="O66" s="9">
        <f t="shared" si="40"/>
        <v>0.69499999999999995</v>
      </c>
      <c r="P66" s="9">
        <f t="shared" si="41"/>
        <v>0.68500000000000005</v>
      </c>
      <c r="Q66" s="9">
        <f t="shared" si="42"/>
        <v>0.68500000000000005</v>
      </c>
      <c r="R66" s="9">
        <f t="shared" si="43"/>
        <v>0.69499999999999995</v>
      </c>
      <c r="S66" s="9">
        <f t="shared" si="44"/>
        <v>0.69499999999999995</v>
      </c>
      <c r="T66" s="9">
        <f t="shared" si="45"/>
        <v>0.67500000000000004</v>
      </c>
      <c r="U66" s="16"/>
      <c r="V66" s="21">
        <v>45</v>
      </c>
      <c r="W66" s="18" t="s">
        <v>36</v>
      </c>
      <c r="X66" s="19" t="s">
        <v>83</v>
      </c>
      <c r="Y66" s="19" t="s">
        <v>67</v>
      </c>
      <c r="Z66" s="19" t="s">
        <v>67</v>
      </c>
      <c r="AA66" s="19" t="s">
        <v>75</v>
      </c>
      <c r="AB66" s="19" t="s">
        <v>75</v>
      </c>
      <c r="AC66" s="19" t="s">
        <v>71</v>
      </c>
      <c r="AD66" s="19" t="s">
        <v>71</v>
      </c>
      <c r="AE66" s="19" t="s">
        <v>72</v>
      </c>
      <c r="AF66" s="9" t="str">
        <f t="shared" si="46"/>
        <v>0,70</v>
      </c>
      <c r="AG66" s="9">
        <f t="shared" si="47"/>
        <v>0.69</v>
      </c>
      <c r="AH66" s="9">
        <f t="shared" si="48"/>
        <v>0.65500000000000003</v>
      </c>
      <c r="AI66" s="9">
        <f t="shared" si="49"/>
        <v>0.6</v>
      </c>
      <c r="AJ66" s="9">
        <f t="shared" si="50"/>
        <v>0.54</v>
      </c>
      <c r="AK66" s="9">
        <f t="shared" si="51"/>
        <v>0.54</v>
      </c>
      <c r="AL66" s="9">
        <f t="shared" si="52"/>
        <v>0.6</v>
      </c>
      <c r="AM66" s="9">
        <f t="shared" si="53"/>
        <v>0.65500000000000003</v>
      </c>
      <c r="AN66" s="9">
        <f t="shared" si="54"/>
        <v>0.69</v>
      </c>
    </row>
    <row r="67" spans="2:40">
      <c r="B67" s="7">
        <f>0.5*(B66+B68)</f>
        <v>47.5</v>
      </c>
      <c r="C67" s="7"/>
      <c r="D67" s="12">
        <f t="shared" ref="D67" si="335">0.5*(D66+D68)</f>
        <v>0.65500000000000003</v>
      </c>
      <c r="E67" s="12">
        <f t="shared" ref="E67" si="336">0.5*(E66+E68)</f>
        <v>0.66500000000000004</v>
      </c>
      <c r="F67" s="12">
        <f t="shared" ref="F67" si="337">0.5*(F66+F68)</f>
        <v>0.66500000000000004</v>
      </c>
      <c r="G67" s="12">
        <f t="shared" ref="G67" si="338">0.5*(G66+G68)</f>
        <v>0.67999999999999994</v>
      </c>
      <c r="H67" s="12">
        <f t="shared" ref="H67" si="339">0.5*(H66+H68)</f>
        <v>0.67999999999999994</v>
      </c>
      <c r="I67" s="12">
        <f t="shared" ref="I67" si="340">0.5*(I66+I68)</f>
        <v>0.66999999999999993</v>
      </c>
      <c r="J67" s="12">
        <f t="shared" ref="J67" si="341">0.5*(J66+J68)</f>
        <v>0.66999999999999993</v>
      </c>
      <c r="K67" s="12">
        <f t="shared" ref="K67" si="342">0.5*(K66+K68)</f>
        <v>0.64</v>
      </c>
      <c r="L67" s="12">
        <f t="shared" ref="L67" si="343">0.5*(L66+L68)</f>
        <v>0.64</v>
      </c>
      <c r="M67" s="12">
        <f t="shared" ref="M67" si="344">0.5*(M66+M68)</f>
        <v>0.65500000000000003</v>
      </c>
      <c r="N67" s="12">
        <f t="shared" ref="N67" si="345">0.5*(N66+N68)</f>
        <v>0.67500000000000004</v>
      </c>
      <c r="O67" s="12">
        <f t="shared" ref="O67" si="346">0.5*(O66+O68)</f>
        <v>0.67249999999999999</v>
      </c>
      <c r="P67" s="12">
        <f t="shared" ref="P67" si="347">0.5*(P66+P68)</f>
        <v>0.66</v>
      </c>
      <c r="Q67" s="12">
        <f t="shared" ref="Q67" si="348">0.5*(Q66+Q68)</f>
        <v>0.66</v>
      </c>
      <c r="R67" s="12">
        <f t="shared" ref="R67" si="349">0.5*(R66+R68)</f>
        <v>0.67249999999999999</v>
      </c>
      <c r="S67" s="12">
        <f t="shared" ref="S67" si="350">0.5*(S66+S68)</f>
        <v>0.67500000000000004</v>
      </c>
      <c r="T67" s="13">
        <f t="shared" ref="T67" si="351">0.5*(T66+T68)</f>
        <v>0.65500000000000003</v>
      </c>
      <c r="U67" s="14"/>
      <c r="V67" s="11">
        <f t="shared" ref="V67" si="352">0.5*(V66+V68)</f>
        <v>47.5</v>
      </c>
      <c r="W67" s="7"/>
      <c r="X67" s="12">
        <f t="shared" ref="X67" si="353">0.5*(X66+X68)</f>
        <v>0.48499999999999999</v>
      </c>
      <c r="Y67" s="12">
        <f t="shared" ref="Y67" si="354">0.5*(Y66+Y68)</f>
        <v>0.54499999999999993</v>
      </c>
      <c r="Z67" s="12">
        <f t="shared" ref="Z67" si="355">0.5*(Z66+Z68)</f>
        <v>0.54499999999999993</v>
      </c>
      <c r="AA67" s="12">
        <f t="shared" ref="AA67" si="356">0.5*(AA66+AA68)</f>
        <v>0.60499999999999998</v>
      </c>
      <c r="AB67" s="12">
        <f t="shared" ref="AB67" si="357">0.5*(AB66+AB68)</f>
        <v>0.60499999999999998</v>
      </c>
      <c r="AC67" s="12">
        <f t="shared" ref="AC67" si="358">0.5*(AC66+AC68)</f>
        <v>0.66</v>
      </c>
      <c r="AD67" s="12">
        <f t="shared" ref="AD67" si="359">0.5*(AD66+AD68)</f>
        <v>0.66</v>
      </c>
      <c r="AE67" s="12">
        <f t="shared" ref="AE67" si="360">0.5*(AE66+AE68)</f>
        <v>0.68500000000000005</v>
      </c>
      <c r="AF67" s="12">
        <f t="shared" ref="AF67" si="361">0.5*(AF66+AF68)</f>
        <v>0.68500000000000005</v>
      </c>
      <c r="AG67" s="12">
        <f t="shared" ref="AG67" si="362">0.5*(AG66+AG68)</f>
        <v>0.67249999999999999</v>
      </c>
      <c r="AH67" s="12">
        <f t="shared" ref="AH67" si="363">0.5*(AH66+AH68)</f>
        <v>0.63250000000000006</v>
      </c>
      <c r="AI67" s="12">
        <f t="shared" ref="AI67" si="364">0.5*(AI66+AI68)</f>
        <v>0.57499999999999996</v>
      </c>
      <c r="AJ67" s="12">
        <f t="shared" ref="AJ67" si="365">0.5*(AJ66+AJ68)</f>
        <v>0.51500000000000001</v>
      </c>
      <c r="AK67" s="12">
        <f t="shared" ref="AK67" si="366">0.5*(AK66+AK68)</f>
        <v>0.51500000000000001</v>
      </c>
      <c r="AL67" s="12">
        <f t="shared" ref="AL67" si="367">0.5*(AL66+AL68)</f>
        <v>0.57499999999999996</v>
      </c>
      <c r="AM67" s="12">
        <f t="shared" ref="AM67" si="368">0.5*(AM66+AM68)</f>
        <v>0.63250000000000006</v>
      </c>
      <c r="AN67" s="12">
        <f t="shared" ref="AN67" si="369">0.5*(AN66+AN68)</f>
        <v>0.67249999999999999</v>
      </c>
    </row>
    <row r="68" spans="2:40">
      <c r="B68" s="17">
        <v>50</v>
      </c>
      <c r="C68" s="18" t="s">
        <v>34</v>
      </c>
      <c r="D68" s="22" t="s">
        <v>75</v>
      </c>
      <c r="E68" s="22" t="s">
        <v>96</v>
      </c>
      <c r="F68" s="22" t="s">
        <v>96</v>
      </c>
      <c r="G68" s="22" t="s">
        <v>95</v>
      </c>
      <c r="H68" s="22" t="s">
        <v>95</v>
      </c>
      <c r="I68" s="22" t="s">
        <v>58</v>
      </c>
      <c r="J68" s="22" t="s">
        <v>58</v>
      </c>
      <c r="K68" s="22" t="s">
        <v>57</v>
      </c>
      <c r="L68" s="9" t="str">
        <f t="shared" si="37"/>
        <v>0,62</v>
      </c>
      <c r="M68" s="9">
        <f t="shared" si="38"/>
        <v>0.63500000000000001</v>
      </c>
      <c r="N68" s="9">
        <f t="shared" si="39"/>
        <v>0.65500000000000003</v>
      </c>
      <c r="O68" s="9">
        <f t="shared" si="40"/>
        <v>0.65</v>
      </c>
      <c r="P68" s="9">
        <f t="shared" si="41"/>
        <v>0.63500000000000001</v>
      </c>
      <c r="Q68" s="9">
        <f t="shared" si="42"/>
        <v>0.63500000000000001</v>
      </c>
      <c r="R68" s="9">
        <f t="shared" si="43"/>
        <v>0.65</v>
      </c>
      <c r="S68" s="9">
        <f t="shared" si="44"/>
        <v>0.65500000000000003</v>
      </c>
      <c r="T68" s="9">
        <f t="shared" si="45"/>
        <v>0.63500000000000001</v>
      </c>
      <c r="U68" s="16"/>
      <c r="V68" s="21">
        <v>50</v>
      </c>
      <c r="W68" s="18" t="s">
        <v>36</v>
      </c>
      <c r="X68" s="19" t="s">
        <v>97</v>
      </c>
      <c r="Y68" s="19" t="s">
        <v>79</v>
      </c>
      <c r="Z68" s="19" t="s">
        <v>79</v>
      </c>
      <c r="AA68" s="19" t="s">
        <v>87</v>
      </c>
      <c r="AB68" s="19" t="s">
        <v>87</v>
      </c>
      <c r="AC68" s="19" t="s">
        <v>96</v>
      </c>
      <c r="AD68" s="19" t="s">
        <v>96</v>
      </c>
      <c r="AE68" s="19" t="s">
        <v>76</v>
      </c>
      <c r="AF68" s="9" t="str">
        <f t="shared" si="46"/>
        <v>0,67</v>
      </c>
      <c r="AG68" s="9">
        <f t="shared" si="47"/>
        <v>0.65500000000000003</v>
      </c>
      <c r="AH68" s="9">
        <f t="shared" si="48"/>
        <v>0.61</v>
      </c>
      <c r="AI68" s="9">
        <f t="shared" si="49"/>
        <v>0.55000000000000004</v>
      </c>
      <c r="AJ68" s="9">
        <f t="shared" si="50"/>
        <v>0.49</v>
      </c>
      <c r="AK68" s="9">
        <f t="shared" si="51"/>
        <v>0.49</v>
      </c>
      <c r="AL68" s="9">
        <f t="shared" si="52"/>
        <v>0.55000000000000004</v>
      </c>
      <c r="AM68" s="9">
        <f t="shared" si="53"/>
        <v>0.61</v>
      </c>
      <c r="AN68" s="9">
        <f t="shared" si="54"/>
        <v>0.65500000000000003</v>
      </c>
    </row>
    <row r="69" spans="2:40">
      <c r="B69" s="7">
        <f>0.5*(B68+B70)</f>
        <v>52.5</v>
      </c>
      <c r="C69" s="7"/>
      <c r="D69" s="12">
        <f t="shared" ref="D69" si="370">0.5*(D68+D70)</f>
        <v>0.6</v>
      </c>
      <c r="E69" s="12">
        <f t="shared" ref="E69" si="371">0.5*(E68+E70)</f>
        <v>0.61</v>
      </c>
      <c r="F69" s="12">
        <f t="shared" ref="F69" si="372">0.5*(F68+F70)</f>
        <v>0.61</v>
      </c>
      <c r="G69" s="12">
        <f t="shared" ref="G69" si="373">0.5*(G68+G70)</f>
        <v>0.64</v>
      </c>
      <c r="H69" s="12">
        <f t="shared" ref="H69" si="374">0.5*(H68+H70)</f>
        <v>0.64</v>
      </c>
      <c r="I69" s="12">
        <f t="shared" ref="I69" si="375">0.5*(I68+I70)</f>
        <v>0.63</v>
      </c>
      <c r="J69" s="12">
        <f t="shared" ref="J69" si="376">0.5*(J68+J70)</f>
        <v>0.63</v>
      </c>
      <c r="K69" s="12">
        <f t="shared" ref="K69" si="377">0.5*(K68+K70)</f>
        <v>0.60499999999999998</v>
      </c>
      <c r="L69" s="12">
        <f t="shared" ref="L69" si="378">0.5*(L68+L70)</f>
        <v>0.60499999999999998</v>
      </c>
      <c r="M69" s="12">
        <f t="shared" ref="M69" si="379">0.5*(M68+M70)</f>
        <v>0.61749999999999994</v>
      </c>
      <c r="N69" s="12">
        <f t="shared" ref="N69" si="380">0.5*(N68+N70)</f>
        <v>0.63500000000000001</v>
      </c>
      <c r="O69" s="12">
        <f t="shared" ref="O69" si="381">0.5*(O68+O70)</f>
        <v>0.625</v>
      </c>
      <c r="P69" s="12">
        <f t="shared" ref="P69" si="382">0.5*(P68+P70)</f>
        <v>0.60499999999999998</v>
      </c>
      <c r="Q69" s="12">
        <f t="shared" ref="Q69" si="383">0.5*(Q68+Q70)</f>
        <v>0.60499999999999998</v>
      </c>
      <c r="R69" s="12">
        <f t="shared" ref="R69" si="384">0.5*(R68+R70)</f>
        <v>0.625</v>
      </c>
      <c r="S69" s="12">
        <f t="shared" ref="S69" si="385">0.5*(S68+S70)</f>
        <v>0.63500000000000001</v>
      </c>
      <c r="T69" s="13">
        <f t="shared" ref="T69" si="386">0.5*(T68+T70)</f>
        <v>0.61749999999999994</v>
      </c>
      <c r="U69" s="14"/>
      <c r="V69" s="11">
        <f t="shared" ref="V69" si="387">0.5*(V68+V70)</f>
        <v>52.5</v>
      </c>
      <c r="W69" s="7"/>
      <c r="X69" s="12">
        <f t="shared" ref="X69" si="388">0.5*(X68+X70)</f>
        <v>0.44</v>
      </c>
      <c r="Y69" s="12">
        <f t="shared" ref="Y69" si="389">0.5*(Y68+Y70)</f>
        <v>0.5</v>
      </c>
      <c r="Z69" s="12">
        <f t="shared" ref="Z69" si="390">0.5*(Z68+Z70)</f>
        <v>0.5</v>
      </c>
      <c r="AA69" s="12">
        <f t="shared" ref="AA69" si="391">0.5*(AA68+AA70)</f>
        <v>0.55499999999999994</v>
      </c>
      <c r="AB69" s="12">
        <f t="shared" ref="AB69" si="392">0.5*(AB68+AB70)</f>
        <v>0.55499999999999994</v>
      </c>
      <c r="AC69" s="12">
        <f t="shared" ref="AC69" si="393">0.5*(AC68+AC70)</f>
        <v>0.61499999999999999</v>
      </c>
      <c r="AD69" s="12">
        <f t="shared" ref="AD69" si="394">0.5*(AD68+AD70)</f>
        <v>0.61499999999999999</v>
      </c>
      <c r="AE69" s="12">
        <f t="shared" ref="AE69" si="395">0.5*(AE68+AE70)</f>
        <v>0.65</v>
      </c>
      <c r="AF69" s="12">
        <f t="shared" ref="AF69" si="396">0.5*(AF68+AF70)</f>
        <v>0.65</v>
      </c>
      <c r="AG69" s="12">
        <f t="shared" ref="AG69" si="397">0.5*(AG68+AG70)</f>
        <v>0.63250000000000006</v>
      </c>
      <c r="AH69" s="12">
        <f t="shared" ref="AH69" si="398">0.5*(AH68+AH70)</f>
        <v>0.58499999999999996</v>
      </c>
      <c r="AI69" s="12">
        <f t="shared" ref="AI69" si="399">0.5*(AI68+AI70)</f>
        <v>0.52750000000000008</v>
      </c>
      <c r="AJ69" s="12">
        <f t="shared" ref="AJ69" si="400">0.5*(AJ68+AJ70)</f>
        <v>0.47</v>
      </c>
      <c r="AK69" s="12">
        <f t="shared" ref="AK69" si="401">0.5*(AK68+AK70)</f>
        <v>0.47</v>
      </c>
      <c r="AL69" s="12">
        <f t="shared" ref="AL69" si="402">0.5*(AL68+AL70)</f>
        <v>0.52750000000000008</v>
      </c>
      <c r="AM69" s="12">
        <f t="shared" ref="AM69" si="403">0.5*(AM68+AM70)</f>
        <v>0.58499999999999996</v>
      </c>
      <c r="AN69" s="12">
        <f t="shared" ref="AN69" si="404">0.5*(AN68+AN70)</f>
        <v>0.63250000000000006</v>
      </c>
    </row>
    <row r="70" spans="2:40">
      <c r="B70" s="17">
        <v>55</v>
      </c>
      <c r="C70" s="18" t="s">
        <v>34</v>
      </c>
      <c r="D70" s="22" t="s">
        <v>67</v>
      </c>
      <c r="E70" s="22" t="s">
        <v>87</v>
      </c>
      <c r="F70" s="22" t="s">
        <v>87</v>
      </c>
      <c r="G70" s="22" t="s">
        <v>57</v>
      </c>
      <c r="H70" s="22" t="s">
        <v>57</v>
      </c>
      <c r="I70" s="22" t="s">
        <v>56</v>
      </c>
      <c r="J70" s="22" t="s">
        <v>56</v>
      </c>
      <c r="K70" s="22" t="s">
        <v>98</v>
      </c>
      <c r="L70" s="9" t="str">
        <f t="shared" si="37"/>
        <v>0,59</v>
      </c>
      <c r="M70" s="9">
        <f t="shared" si="38"/>
        <v>0.6</v>
      </c>
      <c r="N70" s="9">
        <f t="shared" si="39"/>
        <v>0.61499999999999999</v>
      </c>
      <c r="O70" s="9">
        <f t="shared" si="40"/>
        <v>0.6</v>
      </c>
      <c r="P70" s="9">
        <f t="shared" si="41"/>
        <v>0.57499999999999996</v>
      </c>
      <c r="Q70" s="9">
        <f t="shared" si="42"/>
        <v>0.57499999999999996</v>
      </c>
      <c r="R70" s="9">
        <f t="shared" si="43"/>
        <v>0.6</v>
      </c>
      <c r="S70" s="9">
        <f t="shared" si="44"/>
        <v>0.61499999999999999</v>
      </c>
      <c r="T70" s="9">
        <f t="shared" si="45"/>
        <v>0.6</v>
      </c>
      <c r="U70" s="16"/>
      <c r="V70" s="21">
        <v>55</v>
      </c>
      <c r="W70" s="18" t="s">
        <v>36</v>
      </c>
      <c r="X70" s="19" t="s">
        <v>99</v>
      </c>
      <c r="Y70" s="19" t="s">
        <v>100</v>
      </c>
      <c r="Z70" s="19" t="s">
        <v>100</v>
      </c>
      <c r="AA70" s="19" t="s">
        <v>61</v>
      </c>
      <c r="AB70" s="19" t="s">
        <v>61</v>
      </c>
      <c r="AC70" s="19" t="s">
        <v>98</v>
      </c>
      <c r="AD70" s="19" t="s">
        <v>98</v>
      </c>
      <c r="AE70" s="19" t="s">
        <v>75</v>
      </c>
      <c r="AF70" s="9" t="str">
        <f t="shared" si="46"/>
        <v>0,63</v>
      </c>
      <c r="AG70" s="9">
        <f t="shared" si="47"/>
        <v>0.61</v>
      </c>
      <c r="AH70" s="9">
        <f t="shared" si="48"/>
        <v>0.56000000000000005</v>
      </c>
      <c r="AI70" s="9">
        <f t="shared" si="49"/>
        <v>0.505</v>
      </c>
      <c r="AJ70" s="9">
        <f t="shared" si="50"/>
        <v>0.44999999999999996</v>
      </c>
      <c r="AK70" s="9">
        <f t="shared" si="51"/>
        <v>0.44999999999999996</v>
      </c>
      <c r="AL70" s="9">
        <f t="shared" si="52"/>
        <v>0.505</v>
      </c>
      <c r="AM70" s="9">
        <f t="shared" si="53"/>
        <v>0.56000000000000005</v>
      </c>
      <c r="AN70" s="9">
        <f t="shared" si="54"/>
        <v>0.61</v>
      </c>
    </row>
    <row r="71" spans="2:40">
      <c r="B71" s="7">
        <f>0.5*(B70+B72)</f>
        <v>57.5</v>
      </c>
      <c r="C71" s="7"/>
      <c r="D71" s="12">
        <f t="shared" ref="D71" si="405">0.5*(D70+D72)</f>
        <v>0.53499999999999992</v>
      </c>
      <c r="E71" s="12">
        <f t="shared" ref="E71" si="406">0.5*(E70+E72)</f>
        <v>0.55000000000000004</v>
      </c>
      <c r="F71" s="12">
        <f t="shared" ref="F71" si="407">0.5*(F70+F72)</f>
        <v>0.55000000000000004</v>
      </c>
      <c r="G71" s="12">
        <f t="shared" ref="G71" si="408">0.5*(G70+G72)</f>
        <v>0.59499999999999997</v>
      </c>
      <c r="H71" s="12">
        <f t="shared" ref="H71" si="409">0.5*(H70+H72)</f>
        <v>0.59499999999999997</v>
      </c>
      <c r="I71" s="12">
        <f t="shared" ref="I71" si="410">0.5*(I70+I72)</f>
        <v>0.59</v>
      </c>
      <c r="J71" s="12">
        <f t="shared" ref="J71" si="411">0.5*(J70+J72)</f>
        <v>0.59</v>
      </c>
      <c r="K71" s="12">
        <f t="shared" ref="K71" si="412">0.5*(K70+K72)</f>
        <v>0.57000000000000006</v>
      </c>
      <c r="L71" s="12">
        <f t="shared" ref="L71" si="413">0.5*(L70+L72)</f>
        <v>0.57000000000000006</v>
      </c>
      <c r="M71" s="12">
        <f t="shared" ref="M71" si="414">0.5*(M70+M72)</f>
        <v>0.58000000000000007</v>
      </c>
      <c r="N71" s="12">
        <f t="shared" ref="N71" si="415">0.5*(N70+N72)</f>
        <v>0.59250000000000003</v>
      </c>
      <c r="O71" s="12">
        <f t="shared" ref="O71" si="416">0.5*(O70+O72)</f>
        <v>0.57250000000000001</v>
      </c>
      <c r="P71" s="12">
        <f t="shared" ref="P71" si="417">0.5*(P70+P72)</f>
        <v>0.54249999999999998</v>
      </c>
      <c r="Q71" s="12">
        <f t="shared" ref="Q71" si="418">0.5*(Q70+Q72)</f>
        <v>0.54249999999999998</v>
      </c>
      <c r="R71" s="12">
        <f t="shared" ref="R71" si="419">0.5*(R70+R72)</f>
        <v>0.57250000000000001</v>
      </c>
      <c r="S71" s="12">
        <f t="shared" ref="S71" si="420">0.5*(S70+S72)</f>
        <v>0.59250000000000003</v>
      </c>
      <c r="T71" s="13">
        <f t="shared" ref="T71" si="421">0.5*(T70+T72)</f>
        <v>0.58000000000000007</v>
      </c>
      <c r="U71" s="14"/>
      <c r="V71" s="11">
        <f t="shared" ref="V71" si="422">0.5*(V70+V72)</f>
        <v>57.5</v>
      </c>
      <c r="W71" s="7"/>
      <c r="X71" s="12">
        <f t="shared" ref="X71" si="423">0.5*(X70+X72)</f>
        <v>0.40500000000000003</v>
      </c>
      <c r="Y71" s="12">
        <f t="shared" ref="Y71" si="424">0.5*(Y70+Y72)</f>
        <v>0.45499999999999996</v>
      </c>
      <c r="Z71" s="12">
        <f t="shared" ref="Z71" si="425">0.5*(Z70+Z72)</f>
        <v>0.45499999999999996</v>
      </c>
      <c r="AA71" s="12">
        <f t="shared" ref="AA71" si="426">0.5*(AA70+AA72)</f>
        <v>0.505</v>
      </c>
      <c r="AB71" s="12">
        <f t="shared" ref="AB71" si="427">0.5*(AB70+AB72)</f>
        <v>0.505</v>
      </c>
      <c r="AC71" s="12">
        <f t="shared" ref="AC71" si="428">0.5*(AC70+AC72)</f>
        <v>0.57000000000000006</v>
      </c>
      <c r="AD71" s="12">
        <f t="shared" ref="AD71" si="429">0.5*(AD70+AD72)</f>
        <v>0.57000000000000006</v>
      </c>
      <c r="AE71" s="12">
        <f t="shared" ref="AE71" si="430">0.5*(AE70+AE72)</f>
        <v>0.61499999999999999</v>
      </c>
      <c r="AF71" s="12">
        <f t="shared" ref="AF71" si="431">0.5*(AF70+AF72)</f>
        <v>0.61499999999999999</v>
      </c>
      <c r="AG71" s="12">
        <f t="shared" ref="AG71" si="432">0.5*(AG70+AG72)</f>
        <v>0.59250000000000003</v>
      </c>
      <c r="AH71" s="12">
        <f t="shared" ref="AH71" si="433">0.5*(AH70+AH72)</f>
        <v>0.53750000000000009</v>
      </c>
      <c r="AI71" s="12">
        <f t="shared" ref="AI71" si="434">0.5*(AI70+AI72)</f>
        <v>0.48</v>
      </c>
      <c r="AJ71" s="12">
        <f t="shared" ref="AJ71" si="435">0.5*(AJ70+AJ72)</f>
        <v>0.43</v>
      </c>
      <c r="AK71" s="12">
        <f t="shared" ref="AK71" si="436">0.5*(AK70+AK72)</f>
        <v>0.43</v>
      </c>
      <c r="AL71" s="12">
        <f t="shared" ref="AL71" si="437">0.5*(AL70+AL72)</f>
        <v>0.48</v>
      </c>
      <c r="AM71" s="12">
        <f t="shared" ref="AM71" si="438">0.5*(AM70+AM72)</f>
        <v>0.53750000000000009</v>
      </c>
      <c r="AN71" s="12">
        <f t="shared" ref="AN71" si="439">0.5*(AN70+AN72)</f>
        <v>0.59250000000000003</v>
      </c>
    </row>
    <row r="72" spans="2:40">
      <c r="B72" s="17">
        <v>60</v>
      </c>
      <c r="C72" s="18" t="s">
        <v>34</v>
      </c>
      <c r="D72" s="22" t="s">
        <v>84</v>
      </c>
      <c r="E72" s="22" t="s">
        <v>79</v>
      </c>
      <c r="F72" s="22" t="s">
        <v>79</v>
      </c>
      <c r="G72" s="22" t="s">
        <v>67</v>
      </c>
      <c r="H72" s="22" t="s">
        <v>67</v>
      </c>
      <c r="I72" s="22" t="s">
        <v>67</v>
      </c>
      <c r="J72" s="22" t="s">
        <v>67</v>
      </c>
      <c r="K72" s="22" t="s">
        <v>69</v>
      </c>
      <c r="L72" s="9" t="str">
        <f t="shared" si="37"/>
        <v>0,55</v>
      </c>
      <c r="M72" s="9">
        <f t="shared" si="38"/>
        <v>0.56000000000000005</v>
      </c>
      <c r="N72" s="9">
        <f t="shared" si="39"/>
        <v>0.56999999999999995</v>
      </c>
      <c r="O72" s="9">
        <f t="shared" si="40"/>
        <v>0.54499999999999993</v>
      </c>
      <c r="P72" s="9">
        <f t="shared" si="41"/>
        <v>0.51</v>
      </c>
      <c r="Q72" s="9">
        <f t="shared" si="42"/>
        <v>0.51</v>
      </c>
      <c r="R72" s="9">
        <f t="shared" si="43"/>
        <v>0.54499999999999993</v>
      </c>
      <c r="S72" s="9">
        <f t="shared" si="44"/>
        <v>0.56999999999999995</v>
      </c>
      <c r="T72" s="9">
        <f t="shared" si="45"/>
        <v>0.56000000000000005</v>
      </c>
      <c r="U72" s="16"/>
      <c r="V72" s="21">
        <v>60</v>
      </c>
      <c r="W72" s="18" t="s">
        <v>36</v>
      </c>
      <c r="X72" s="19" t="s">
        <v>101</v>
      </c>
      <c r="Y72" s="19" t="s">
        <v>102</v>
      </c>
      <c r="Z72" s="19" t="s">
        <v>102</v>
      </c>
      <c r="AA72" s="19" t="s">
        <v>100</v>
      </c>
      <c r="AB72" s="19" t="s">
        <v>100</v>
      </c>
      <c r="AC72" s="19" t="s">
        <v>69</v>
      </c>
      <c r="AD72" s="19" t="s">
        <v>69</v>
      </c>
      <c r="AE72" s="19" t="s">
        <v>80</v>
      </c>
      <c r="AF72" s="9" t="str">
        <f t="shared" si="46"/>
        <v>0,60</v>
      </c>
      <c r="AG72" s="9">
        <f t="shared" si="47"/>
        <v>0.57499999999999996</v>
      </c>
      <c r="AH72" s="9">
        <f t="shared" si="48"/>
        <v>0.51500000000000001</v>
      </c>
      <c r="AI72" s="9">
        <f t="shared" si="49"/>
        <v>0.45499999999999996</v>
      </c>
      <c r="AJ72" s="9">
        <f t="shared" si="50"/>
        <v>0.41000000000000003</v>
      </c>
      <c r="AK72" s="9">
        <f t="shared" si="51"/>
        <v>0.41000000000000003</v>
      </c>
      <c r="AL72" s="9">
        <f t="shared" si="52"/>
        <v>0.45499999999999996</v>
      </c>
      <c r="AM72" s="9">
        <f t="shared" si="53"/>
        <v>0.51500000000000001</v>
      </c>
      <c r="AN72" s="9">
        <f t="shared" si="54"/>
        <v>0.57499999999999996</v>
      </c>
    </row>
    <row r="73" spans="2:40">
      <c r="B73" s="7">
        <f>0.5*(B72+B74)</f>
        <v>62.5</v>
      </c>
      <c r="C73" s="7"/>
      <c r="D73" s="12">
        <f t="shared" ref="D73" si="440">0.5*(D72+D74)</f>
        <v>0.45999999999999996</v>
      </c>
      <c r="E73" s="12">
        <f t="shared" ref="E73" si="441">0.5*(E72+E74)</f>
        <v>0.48499999999999999</v>
      </c>
      <c r="F73" s="12">
        <f t="shared" ref="F73" si="442">0.5*(F72+F74)</f>
        <v>0.48499999999999999</v>
      </c>
      <c r="G73" s="12">
        <f t="shared" ref="G73" si="443">0.5*(G72+G74)</f>
        <v>0.53499999999999992</v>
      </c>
      <c r="H73" s="12">
        <f t="shared" ref="H73" si="444">0.5*(H72+H74)</f>
        <v>0.53499999999999992</v>
      </c>
      <c r="I73" s="12">
        <f t="shared" ref="I73" si="445">0.5*(I72+I74)</f>
        <v>0.55000000000000004</v>
      </c>
      <c r="J73" s="12">
        <f t="shared" ref="J73" si="446">0.5*(J72+J74)</f>
        <v>0.55000000000000004</v>
      </c>
      <c r="K73" s="12">
        <f t="shared" ref="K73" si="447">0.5*(K72+K74)</f>
        <v>0.53</v>
      </c>
      <c r="L73" s="12">
        <f t="shared" ref="L73" si="448">0.5*(L72+L74)</f>
        <v>0.53</v>
      </c>
      <c r="M73" s="12">
        <f t="shared" ref="M73" si="449">0.5*(M72+M74)</f>
        <v>0.54</v>
      </c>
      <c r="N73" s="12">
        <f t="shared" ref="N73" si="450">0.5*(N72+N74)</f>
        <v>0.54249999999999998</v>
      </c>
      <c r="O73" s="12">
        <f t="shared" ref="O73" si="451">0.5*(O72+O74)</f>
        <v>0.51</v>
      </c>
      <c r="P73" s="12">
        <f t="shared" ref="P73" si="452">0.5*(P72+P74)</f>
        <v>0.47250000000000003</v>
      </c>
      <c r="Q73" s="12">
        <f t="shared" ref="Q73" si="453">0.5*(Q72+Q74)</f>
        <v>0.47250000000000003</v>
      </c>
      <c r="R73" s="12">
        <f t="shared" ref="R73" si="454">0.5*(R72+R74)</f>
        <v>0.51</v>
      </c>
      <c r="S73" s="12">
        <f t="shared" ref="S73" si="455">0.5*(S72+S74)</f>
        <v>0.54249999999999998</v>
      </c>
      <c r="T73" s="13">
        <f t="shared" ref="T73" si="456">0.5*(T72+T74)</f>
        <v>0.54</v>
      </c>
      <c r="U73" s="14"/>
      <c r="V73" s="11">
        <f t="shared" ref="V73" si="457">0.5*(V72+V74)</f>
        <v>62.5</v>
      </c>
      <c r="W73" s="7"/>
      <c r="X73" s="12">
        <f t="shared" ref="X73" si="458">0.5*(X72+X74)</f>
        <v>0.375</v>
      </c>
      <c r="Y73" s="12">
        <f t="shared" ref="Y73" si="459">0.5*(Y72+Y74)</f>
        <v>0.41000000000000003</v>
      </c>
      <c r="Z73" s="12">
        <f t="shared" ref="Z73" si="460">0.5*(Z72+Z74)</f>
        <v>0.41000000000000003</v>
      </c>
      <c r="AA73" s="12">
        <f t="shared" ref="AA73" si="461">0.5*(AA72+AA74)</f>
        <v>0.45499999999999996</v>
      </c>
      <c r="AB73" s="12">
        <f t="shared" ref="AB73" si="462">0.5*(AB72+AB74)</f>
        <v>0.45499999999999996</v>
      </c>
      <c r="AC73" s="12">
        <f t="shared" ref="AC73" si="463">0.5*(AC72+AC74)</f>
        <v>0.52</v>
      </c>
      <c r="AD73" s="12">
        <f t="shared" ref="AD73" si="464">0.5*(AD72+AD74)</f>
        <v>0.52</v>
      </c>
      <c r="AE73" s="12">
        <f t="shared" ref="AE73" si="465">0.5*(AE72+AE74)</f>
        <v>0.58000000000000007</v>
      </c>
      <c r="AF73" s="12">
        <f t="shared" ref="AF73" si="466">0.5*(AF72+AF74)</f>
        <v>0.58000000000000007</v>
      </c>
      <c r="AG73" s="12">
        <f t="shared" ref="AG73" si="467">0.5*(AG72+AG74)</f>
        <v>0.55000000000000004</v>
      </c>
      <c r="AH73" s="12">
        <f t="shared" ref="AH73" si="468">0.5*(AH72+AH74)</f>
        <v>0.48749999999999999</v>
      </c>
      <c r="AI73" s="12">
        <f t="shared" ref="AI73" si="469">0.5*(AI72+AI74)</f>
        <v>0.4325</v>
      </c>
      <c r="AJ73" s="12">
        <f t="shared" ref="AJ73" si="470">0.5*(AJ72+AJ74)</f>
        <v>0.39250000000000002</v>
      </c>
      <c r="AK73" s="12">
        <f t="shared" ref="AK73" si="471">0.5*(AK72+AK74)</f>
        <v>0.39250000000000002</v>
      </c>
      <c r="AL73" s="12">
        <f t="shared" ref="AL73" si="472">0.5*(AL72+AL74)</f>
        <v>0.4325</v>
      </c>
      <c r="AM73" s="12">
        <f t="shared" ref="AM73" si="473">0.5*(AM72+AM74)</f>
        <v>0.48749999999999999</v>
      </c>
      <c r="AN73" s="12">
        <f t="shared" ref="AN73" si="474">0.5*(AN72+AN74)</f>
        <v>0.55000000000000004</v>
      </c>
    </row>
    <row r="74" spans="2:40">
      <c r="B74" s="17">
        <v>65</v>
      </c>
      <c r="C74" s="18" t="s">
        <v>34</v>
      </c>
      <c r="D74" s="22" t="s">
        <v>99</v>
      </c>
      <c r="E74" s="22" t="s">
        <v>103</v>
      </c>
      <c r="F74" s="22" t="s">
        <v>103</v>
      </c>
      <c r="G74" s="22" t="s">
        <v>84</v>
      </c>
      <c r="H74" s="22" t="s">
        <v>84</v>
      </c>
      <c r="I74" s="22" t="s">
        <v>61</v>
      </c>
      <c r="J74" s="22" t="s">
        <v>61</v>
      </c>
      <c r="K74" s="22" t="s">
        <v>83</v>
      </c>
      <c r="L74" s="9" t="str">
        <f t="shared" si="37"/>
        <v>0,51</v>
      </c>
      <c r="M74" s="9">
        <f t="shared" si="38"/>
        <v>0.52</v>
      </c>
      <c r="N74" s="9">
        <f t="shared" si="39"/>
        <v>0.51500000000000001</v>
      </c>
      <c r="O74" s="9">
        <f t="shared" si="40"/>
        <v>0.47499999999999998</v>
      </c>
      <c r="P74" s="9">
        <f t="shared" si="41"/>
        <v>0.435</v>
      </c>
      <c r="Q74" s="9">
        <f t="shared" si="42"/>
        <v>0.435</v>
      </c>
      <c r="R74" s="9">
        <f t="shared" si="43"/>
        <v>0.47499999999999998</v>
      </c>
      <c r="S74" s="9">
        <f t="shared" si="44"/>
        <v>0.51500000000000001</v>
      </c>
      <c r="T74" s="9">
        <f t="shared" si="45"/>
        <v>0.52</v>
      </c>
      <c r="U74" s="16"/>
      <c r="V74" s="21">
        <v>65</v>
      </c>
      <c r="W74" s="18" t="s">
        <v>36</v>
      </c>
      <c r="X74" s="19" t="s">
        <v>73</v>
      </c>
      <c r="Y74" s="19" t="s">
        <v>101</v>
      </c>
      <c r="Z74" s="19" t="s">
        <v>101</v>
      </c>
      <c r="AA74" s="19" t="s">
        <v>102</v>
      </c>
      <c r="AB74" s="19" t="s">
        <v>102</v>
      </c>
      <c r="AC74" s="19" t="s">
        <v>104</v>
      </c>
      <c r="AD74" s="19" t="s">
        <v>104</v>
      </c>
      <c r="AE74" s="19" t="s">
        <v>93</v>
      </c>
      <c r="AF74" s="9" t="str">
        <f t="shared" si="46"/>
        <v>0,56</v>
      </c>
      <c r="AG74" s="9">
        <f t="shared" si="47"/>
        <v>0.52500000000000002</v>
      </c>
      <c r="AH74" s="9">
        <f t="shared" si="48"/>
        <v>0.45999999999999996</v>
      </c>
      <c r="AI74" s="9">
        <f t="shared" si="49"/>
        <v>0.41000000000000003</v>
      </c>
      <c r="AJ74" s="9">
        <f t="shared" si="50"/>
        <v>0.375</v>
      </c>
      <c r="AK74" s="9">
        <f t="shared" si="51"/>
        <v>0.375</v>
      </c>
      <c r="AL74" s="9">
        <f t="shared" si="52"/>
        <v>0.41000000000000003</v>
      </c>
      <c r="AM74" s="9">
        <f t="shared" si="53"/>
        <v>0.45999999999999996</v>
      </c>
      <c r="AN74" s="9">
        <f t="shared" si="54"/>
        <v>0.52500000000000002</v>
      </c>
    </row>
    <row r="75" spans="2:40">
      <c r="B75" s="7">
        <f>0.5*(B74+B76)</f>
        <v>67.5</v>
      </c>
      <c r="C75" s="7"/>
      <c r="D75" s="12">
        <f t="shared" ref="D75" si="475">0.5*(D74+D76)</f>
        <v>0.38</v>
      </c>
      <c r="E75" s="12">
        <f t="shared" ref="E75" si="476">0.5*(E74+E76)</f>
        <v>0.41000000000000003</v>
      </c>
      <c r="F75" s="12">
        <f t="shared" ref="F75" si="477">0.5*(F74+F76)</f>
        <v>0.41000000000000003</v>
      </c>
      <c r="G75" s="12">
        <f t="shared" ref="G75" si="478">0.5*(G74+G76)</f>
        <v>0.47</v>
      </c>
      <c r="H75" s="12">
        <f t="shared" ref="H75" si="479">0.5*(H74+H76)</f>
        <v>0.47</v>
      </c>
      <c r="I75" s="12">
        <f t="shared" ref="I75" si="480">0.5*(I74+I76)</f>
        <v>0.505</v>
      </c>
      <c r="J75" s="12">
        <f t="shared" ref="J75" si="481">0.5*(J74+J76)</f>
        <v>0.505</v>
      </c>
      <c r="K75" s="12">
        <f t="shared" ref="K75" si="482">0.5*(K74+K76)</f>
        <v>0.49</v>
      </c>
      <c r="L75" s="12">
        <f t="shared" ref="L75" si="483">0.5*(L74+L76)</f>
        <v>0.49</v>
      </c>
      <c r="M75" s="12">
        <f t="shared" ref="M75" si="484">0.5*(M74+M76)</f>
        <v>0.4975</v>
      </c>
      <c r="N75" s="12">
        <f t="shared" ref="N75" si="485">0.5*(N74+N76)</f>
        <v>0.48749999999999999</v>
      </c>
      <c r="O75" s="12">
        <f t="shared" ref="O75" si="486">0.5*(O74+O76)</f>
        <v>0.44</v>
      </c>
      <c r="P75" s="12">
        <f t="shared" ref="P75" si="487">0.5*(P74+P76)</f>
        <v>0.39500000000000002</v>
      </c>
      <c r="Q75" s="12">
        <f t="shared" ref="Q75" si="488">0.5*(Q74+Q76)</f>
        <v>0.39500000000000002</v>
      </c>
      <c r="R75" s="12">
        <f t="shared" ref="R75" si="489">0.5*(R74+R76)</f>
        <v>0.44</v>
      </c>
      <c r="S75" s="12">
        <f t="shared" ref="S75" si="490">0.5*(S74+S76)</f>
        <v>0.48749999999999999</v>
      </c>
      <c r="T75" s="13">
        <f t="shared" ref="T75" si="491">0.5*(T74+T76)</f>
        <v>0.4975</v>
      </c>
      <c r="U75" s="14"/>
      <c r="V75" s="11">
        <f t="shared" ref="V75" si="492">0.5*(V74+V76)</f>
        <v>67.5</v>
      </c>
      <c r="W75" s="7"/>
      <c r="X75" s="12">
        <f t="shared" ref="X75" si="493">0.5*(X74+X76)</f>
        <v>0.34499999999999997</v>
      </c>
      <c r="Y75" s="12">
        <f t="shared" ref="Y75" si="494">0.5*(Y74+Y76)</f>
        <v>0.36499999999999999</v>
      </c>
      <c r="Z75" s="12">
        <f t="shared" ref="Z75" si="495">0.5*(Z74+Z76)</f>
        <v>0.36499999999999999</v>
      </c>
      <c r="AA75" s="12">
        <f t="shared" ref="AA75" si="496">0.5*(AA74+AA76)</f>
        <v>0.40500000000000003</v>
      </c>
      <c r="AB75" s="12">
        <f t="shared" ref="AB75" si="497">0.5*(AB74+AB76)</f>
        <v>0.40500000000000003</v>
      </c>
      <c r="AC75" s="12">
        <f t="shared" ref="AC75" si="498">0.5*(AC74+AC76)</f>
        <v>0.46499999999999997</v>
      </c>
      <c r="AD75" s="12">
        <f t="shared" ref="AD75" si="499">0.5*(AD74+AD76)</f>
        <v>0.46499999999999997</v>
      </c>
      <c r="AE75" s="12">
        <f t="shared" ref="AE75" si="500">0.5*(AE74+AE76)</f>
        <v>0.54</v>
      </c>
      <c r="AF75" s="12">
        <f t="shared" ref="AF75" si="501">0.5*(AF74+AF76)</f>
        <v>0.54</v>
      </c>
      <c r="AG75" s="12">
        <f t="shared" ref="AG75" si="502">0.5*(AG74+AG76)</f>
        <v>0.50249999999999995</v>
      </c>
      <c r="AH75" s="12">
        <f t="shared" ref="AH75" si="503">0.5*(AH74+AH76)</f>
        <v>0.435</v>
      </c>
      <c r="AI75" s="12">
        <f t="shared" ref="AI75" si="504">0.5*(AI74+AI76)</f>
        <v>0.38500000000000001</v>
      </c>
      <c r="AJ75" s="12">
        <f t="shared" ref="AJ75" si="505">0.5*(AJ74+AJ76)</f>
        <v>0.35499999999999998</v>
      </c>
      <c r="AK75" s="12">
        <f t="shared" ref="AK75" si="506">0.5*(AK74+AK76)</f>
        <v>0.35499999999999998</v>
      </c>
      <c r="AL75" s="12">
        <f t="shared" ref="AL75" si="507">0.5*(AL74+AL76)</f>
        <v>0.38500000000000001</v>
      </c>
      <c r="AM75" s="12">
        <f t="shared" ref="AM75" si="508">0.5*(AM74+AM76)</f>
        <v>0.435</v>
      </c>
      <c r="AN75" s="12">
        <f t="shared" ref="AN75" si="509">0.5*(AN74+AN76)</f>
        <v>0.50249999999999995</v>
      </c>
    </row>
    <row r="76" spans="2:40">
      <c r="B76" s="17">
        <v>70</v>
      </c>
      <c r="C76" s="18" t="s">
        <v>34</v>
      </c>
      <c r="D76" s="22" t="s">
        <v>77</v>
      </c>
      <c r="E76" s="22" t="s">
        <v>82</v>
      </c>
      <c r="F76" s="22" t="s">
        <v>82</v>
      </c>
      <c r="G76" s="22" t="s">
        <v>65</v>
      </c>
      <c r="H76" s="22" t="s">
        <v>65</v>
      </c>
      <c r="I76" s="22" t="s">
        <v>100</v>
      </c>
      <c r="J76" s="22" t="s">
        <v>100</v>
      </c>
      <c r="K76" s="22" t="s">
        <v>66</v>
      </c>
      <c r="L76" s="9" t="str">
        <f t="shared" si="37"/>
        <v>0,47</v>
      </c>
      <c r="M76" s="9">
        <f t="shared" si="38"/>
        <v>0.47499999999999998</v>
      </c>
      <c r="N76" s="9">
        <f t="shared" si="39"/>
        <v>0.45999999999999996</v>
      </c>
      <c r="O76" s="9">
        <f t="shared" si="40"/>
        <v>0.40500000000000003</v>
      </c>
      <c r="P76" s="9">
        <f t="shared" si="41"/>
        <v>0.35499999999999998</v>
      </c>
      <c r="Q76" s="9">
        <f t="shared" si="42"/>
        <v>0.35499999999999998</v>
      </c>
      <c r="R76" s="9">
        <f t="shared" si="43"/>
        <v>0.40500000000000003</v>
      </c>
      <c r="S76" s="9">
        <f t="shared" si="44"/>
        <v>0.45999999999999996</v>
      </c>
      <c r="T76" s="9">
        <f t="shared" si="45"/>
        <v>0.47499999999999998</v>
      </c>
      <c r="U76" s="16"/>
      <c r="V76" s="21">
        <v>70</v>
      </c>
      <c r="W76" s="18" t="s">
        <v>36</v>
      </c>
      <c r="X76" s="19" t="s">
        <v>105</v>
      </c>
      <c r="Y76" s="19" t="s">
        <v>77</v>
      </c>
      <c r="Z76" s="19" t="s">
        <v>77</v>
      </c>
      <c r="AA76" s="19" t="s">
        <v>78</v>
      </c>
      <c r="AB76" s="19" t="s">
        <v>78</v>
      </c>
      <c r="AC76" s="19" t="s">
        <v>65</v>
      </c>
      <c r="AD76" s="19" t="s">
        <v>65</v>
      </c>
      <c r="AE76" s="19" t="s">
        <v>79</v>
      </c>
      <c r="AF76" s="9" t="str">
        <f t="shared" si="46"/>
        <v>0,52</v>
      </c>
      <c r="AG76" s="9">
        <f t="shared" si="47"/>
        <v>0.48</v>
      </c>
      <c r="AH76" s="9">
        <f t="shared" si="48"/>
        <v>0.41000000000000003</v>
      </c>
      <c r="AI76" s="9">
        <f t="shared" si="49"/>
        <v>0.36</v>
      </c>
      <c r="AJ76" s="9">
        <f t="shared" si="50"/>
        <v>0.33500000000000002</v>
      </c>
      <c r="AK76" s="9">
        <f t="shared" si="51"/>
        <v>0.33500000000000002</v>
      </c>
      <c r="AL76" s="9">
        <f t="shared" si="52"/>
        <v>0.36</v>
      </c>
      <c r="AM76" s="9">
        <f t="shared" si="53"/>
        <v>0.41000000000000003</v>
      </c>
      <c r="AN76" s="9">
        <f t="shared" si="54"/>
        <v>0.48</v>
      </c>
    </row>
    <row r="77" spans="2:40">
      <c r="B77" s="7">
        <f>0.5*(B76+B78)</f>
        <v>72.5</v>
      </c>
      <c r="C77" s="7"/>
      <c r="D77" s="12">
        <f t="shared" ref="D77" si="510">0.5*(D76+D78)</f>
        <v>0.29749999999999999</v>
      </c>
      <c r="E77" s="12">
        <f t="shared" ref="E77" si="511">0.5*(E76+E78)</f>
        <v>0.32999999999999996</v>
      </c>
      <c r="F77" s="12">
        <f t="shared" ref="F77" si="512">0.5*(F76+F78)</f>
        <v>0.32999999999999996</v>
      </c>
      <c r="G77" s="12">
        <f t="shared" ref="G77" si="513">0.5*(G76+G78)</f>
        <v>0.40249999999999997</v>
      </c>
      <c r="H77" s="12">
        <f t="shared" ref="H77" si="514">0.5*(H76+H78)</f>
        <v>0.40249999999999997</v>
      </c>
      <c r="I77" s="12">
        <f t="shared" ref="I77" si="515">0.5*(I76+I78)</f>
        <v>0.45499999999999996</v>
      </c>
      <c r="J77" s="12">
        <f t="shared" ref="J77" si="516">0.5*(J76+J78)</f>
        <v>0.45499999999999996</v>
      </c>
      <c r="K77" s="12">
        <f t="shared" ref="K77" si="517">0.5*(K76+K78)</f>
        <v>0.45250000000000001</v>
      </c>
      <c r="L77" s="12">
        <f t="shared" ref="L77" si="518">0.5*(L76+L78)</f>
        <v>0.45250000000000001</v>
      </c>
      <c r="M77" s="12">
        <f t="shared" ref="M77" si="519">0.5*(M76+M78)</f>
        <v>0.45374999999999999</v>
      </c>
      <c r="N77" s="12">
        <f t="shared" ref="N77" si="520">0.5*(N76+N78)</f>
        <v>0.42874999999999996</v>
      </c>
      <c r="O77" s="12">
        <f t="shared" ref="O77" si="521">0.5*(O76+O78)</f>
        <v>0.36625000000000002</v>
      </c>
      <c r="P77" s="12">
        <f t="shared" ref="P77" si="522">0.5*(P76+P78)</f>
        <v>0.31374999999999997</v>
      </c>
      <c r="Q77" s="12">
        <f t="shared" ref="Q77" si="523">0.5*(Q76+Q78)</f>
        <v>0.31374999999999997</v>
      </c>
      <c r="R77" s="12">
        <f t="shared" ref="R77" si="524">0.5*(R76+R78)</f>
        <v>0.36625000000000002</v>
      </c>
      <c r="S77" s="12">
        <f t="shared" ref="S77" si="525">0.5*(S76+S78)</f>
        <v>0.42874999999999996</v>
      </c>
      <c r="T77" s="13">
        <f t="shared" ref="T77" si="526">0.5*(T76+T78)</f>
        <v>0.45374999999999999</v>
      </c>
      <c r="U77" s="14"/>
      <c r="V77" s="11">
        <f t="shared" ref="V77" si="527">0.5*(V76+V78)</f>
        <v>72.5</v>
      </c>
      <c r="W77" s="7"/>
      <c r="X77" s="12">
        <f t="shared" ref="X77" si="528">0.5*(X76+X78)</f>
        <v>0.3175</v>
      </c>
      <c r="Y77" s="12">
        <f t="shared" ref="Y77" si="529">0.5*(Y76+Y78)</f>
        <v>0.32000000000000006</v>
      </c>
      <c r="Z77" s="12">
        <f t="shared" ref="Z77" si="530">0.5*(Z76+Z78)</f>
        <v>0.32000000000000006</v>
      </c>
      <c r="AA77" s="12">
        <f t="shared" ref="AA77" si="531">0.5*(AA76+AA78)</f>
        <v>0.35250000000000004</v>
      </c>
      <c r="AB77" s="12">
        <f t="shared" ref="AB77" si="532">0.5*(AB76+AB78)</f>
        <v>0.35250000000000004</v>
      </c>
      <c r="AC77" s="12">
        <f t="shared" ref="AC77" si="533">0.5*(AC76+AC78)</f>
        <v>0.41000000000000003</v>
      </c>
      <c r="AD77" s="12">
        <f t="shared" ref="AD77" si="534">0.5*(AD76+AD78)</f>
        <v>0.41000000000000003</v>
      </c>
      <c r="AE77" s="12">
        <f t="shared" ref="AE77" si="535">0.5*(AE76+AE78)</f>
        <v>0.49249999999999999</v>
      </c>
      <c r="AF77" s="12">
        <f t="shared" ref="AF77" si="536">0.5*(AF76+AF78)</f>
        <v>0.49249999999999999</v>
      </c>
      <c r="AG77" s="12">
        <f t="shared" ref="AG77" si="537">0.5*(AG76+AG78)</f>
        <v>0.45124999999999998</v>
      </c>
      <c r="AH77" s="12">
        <f t="shared" ref="AH77" si="538">0.5*(AH76+AH78)</f>
        <v>0.38125000000000003</v>
      </c>
      <c r="AI77" s="12">
        <f t="shared" ref="AI77" si="539">0.5*(AI76+AI78)</f>
        <v>0.33624999999999999</v>
      </c>
      <c r="AJ77" s="12">
        <f t="shared" ref="AJ77" si="540">0.5*(AJ76+AJ78)</f>
        <v>0.31874999999999998</v>
      </c>
      <c r="AK77" s="12">
        <f t="shared" ref="AK77" si="541">0.5*(AK76+AK78)</f>
        <v>0.31874999999999998</v>
      </c>
      <c r="AL77" s="12">
        <f t="shared" ref="AL77" si="542">0.5*(AL76+AL78)</f>
        <v>0.33624999999999999</v>
      </c>
      <c r="AM77" s="12">
        <f t="shared" ref="AM77" si="543">0.5*(AM76+AM78)</f>
        <v>0.38125000000000003</v>
      </c>
      <c r="AN77" s="12">
        <f t="shared" ref="AN77" si="544">0.5*(AN76+AN78)</f>
        <v>0.45124999999999998</v>
      </c>
    </row>
    <row r="78" spans="2:40">
      <c r="B78" s="17">
        <v>75</v>
      </c>
      <c r="C78" s="18" t="s">
        <v>34</v>
      </c>
      <c r="D78" s="22">
        <f>0.5*(D76+D80)</f>
        <v>0.255</v>
      </c>
      <c r="E78" s="22">
        <f t="shared" ref="E78:AN78" si="545">0.5*(E76+E80)</f>
        <v>0.28999999999999998</v>
      </c>
      <c r="F78" s="22">
        <f t="shared" si="545"/>
        <v>0.28999999999999998</v>
      </c>
      <c r="G78" s="22">
        <f t="shared" si="545"/>
        <v>0.36499999999999999</v>
      </c>
      <c r="H78" s="22">
        <f t="shared" si="545"/>
        <v>0.36499999999999999</v>
      </c>
      <c r="I78" s="22">
        <f t="shared" si="545"/>
        <v>0.43</v>
      </c>
      <c r="J78" s="22">
        <f t="shared" si="545"/>
        <v>0.43</v>
      </c>
      <c r="K78" s="22">
        <f t="shared" si="545"/>
        <v>0.435</v>
      </c>
      <c r="L78" s="22">
        <f t="shared" si="545"/>
        <v>0.435</v>
      </c>
      <c r="M78" s="22">
        <f t="shared" si="545"/>
        <v>0.4325</v>
      </c>
      <c r="N78" s="22">
        <f t="shared" si="545"/>
        <v>0.39749999999999996</v>
      </c>
      <c r="O78" s="22">
        <f t="shared" si="545"/>
        <v>0.32750000000000001</v>
      </c>
      <c r="P78" s="22">
        <f t="shared" si="545"/>
        <v>0.27249999999999996</v>
      </c>
      <c r="Q78" s="22">
        <f t="shared" si="545"/>
        <v>0.27249999999999996</v>
      </c>
      <c r="R78" s="22">
        <f t="shared" si="545"/>
        <v>0.32750000000000001</v>
      </c>
      <c r="S78" s="22">
        <f t="shared" si="545"/>
        <v>0.39749999999999996</v>
      </c>
      <c r="T78" s="166">
        <f t="shared" si="545"/>
        <v>0.4325</v>
      </c>
      <c r="U78" s="168"/>
      <c r="V78" s="167">
        <f t="shared" si="545"/>
        <v>75</v>
      </c>
      <c r="W78" s="18" t="s">
        <v>36</v>
      </c>
      <c r="X78" s="22">
        <f t="shared" si="545"/>
        <v>0.30500000000000005</v>
      </c>
      <c r="Y78" s="22">
        <f t="shared" si="545"/>
        <v>0.30000000000000004</v>
      </c>
      <c r="Z78" s="22">
        <f t="shared" si="545"/>
        <v>0.30000000000000004</v>
      </c>
      <c r="AA78" s="22">
        <f t="shared" si="545"/>
        <v>0.32500000000000001</v>
      </c>
      <c r="AB78" s="22">
        <f t="shared" si="545"/>
        <v>0.32500000000000001</v>
      </c>
      <c r="AC78" s="22">
        <f t="shared" si="545"/>
        <v>0.38</v>
      </c>
      <c r="AD78" s="22">
        <f t="shared" si="545"/>
        <v>0.38</v>
      </c>
      <c r="AE78" s="22">
        <f t="shared" si="545"/>
        <v>0.46499999999999997</v>
      </c>
      <c r="AF78" s="22">
        <f t="shared" si="545"/>
        <v>0.46499999999999997</v>
      </c>
      <c r="AG78" s="22">
        <f t="shared" si="545"/>
        <v>0.42249999999999999</v>
      </c>
      <c r="AH78" s="22">
        <f t="shared" si="545"/>
        <v>0.35250000000000004</v>
      </c>
      <c r="AI78" s="22">
        <f t="shared" si="545"/>
        <v>0.3125</v>
      </c>
      <c r="AJ78" s="22">
        <f t="shared" si="545"/>
        <v>0.30249999999999999</v>
      </c>
      <c r="AK78" s="22">
        <f t="shared" si="545"/>
        <v>0.30249999999999999</v>
      </c>
      <c r="AL78" s="22">
        <f t="shared" si="545"/>
        <v>0.3125</v>
      </c>
      <c r="AM78" s="22">
        <f t="shared" si="545"/>
        <v>0.35250000000000004</v>
      </c>
      <c r="AN78" s="22">
        <f t="shared" si="545"/>
        <v>0.42249999999999999</v>
      </c>
    </row>
    <row r="79" spans="2:40">
      <c r="B79" s="7">
        <f>0.5*(B78+B80)</f>
        <v>77.5</v>
      </c>
      <c r="C79" s="7"/>
      <c r="D79" s="12">
        <f t="shared" ref="D79" si="546">0.5*(D78+D80)</f>
        <v>0.21250000000000002</v>
      </c>
      <c r="E79" s="12">
        <f t="shared" ref="E79" si="547">0.5*(E78+E80)</f>
        <v>0.25</v>
      </c>
      <c r="F79" s="12">
        <f t="shared" ref="F79" si="548">0.5*(F78+F80)</f>
        <v>0.25</v>
      </c>
      <c r="G79" s="12">
        <f t="shared" ref="G79" si="549">0.5*(G78+G80)</f>
        <v>0.32750000000000001</v>
      </c>
      <c r="H79" s="12">
        <f t="shared" ref="H79" si="550">0.5*(H78+H80)</f>
        <v>0.32750000000000001</v>
      </c>
      <c r="I79" s="12">
        <f t="shared" ref="I79" si="551">0.5*(I78+I80)</f>
        <v>0.40500000000000003</v>
      </c>
      <c r="J79" s="12">
        <f t="shared" ref="J79" si="552">0.5*(J78+J80)</f>
        <v>0.40500000000000003</v>
      </c>
      <c r="K79" s="12">
        <f t="shared" ref="K79" si="553">0.5*(K78+K80)</f>
        <v>0.41749999999999998</v>
      </c>
      <c r="L79" s="12">
        <f t="shared" ref="L79" si="554">0.5*(L78+L80)</f>
        <v>0.41749999999999998</v>
      </c>
      <c r="M79" s="12">
        <f t="shared" ref="M79" si="555">0.5*(M78+M80)</f>
        <v>0.41125</v>
      </c>
      <c r="N79" s="12">
        <f t="shared" ref="N79" si="556">0.5*(N78+N80)</f>
        <v>0.36624999999999996</v>
      </c>
      <c r="O79" s="12">
        <f t="shared" ref="O79" si="557">0.5*(O78+O80)</f>
        <v>0.28875000000000001</v>
      </c>
      <c r="P79" s="12">
        <f t="shared" ref="P79" si="558">0.5*(P78+P80)</f>
        <v>0.23124999999999998</v>
      </c>
      <c r="Q79" s="12">
        <f t="shared" ref="Q79" si="559">0.5*(Q78+Q80)</f>
        <v>0.23124999999999998</v>
      </c>
      <c r="R79" s="12">
        <f t="shared" ref="R79" si="560">0.5*(R78+R80)</f>
        <v>0.28875000000000001</v>
      </c>
      <c r="S79" s="12">
        <f t="shared" ref="S79" si="561">0.5*(S78+S80)</f>
        <v>0.36624999999999996</v>
      </c>
      <c r="T79" s="13">
        <f t="shared" ref="T79" si="562">0.5*(T78+T80)</f>
        <v>0.41125</v>
      </c>
      <c r="U79" s="14"/>
      <c r="V79" s="11">
        <f t="shared" ref="V79" si="563">0.5*(V78+V80)</f>
        <v>77.5</v>
      </c>
      <c r="W79" s="7"/>
      <c r="X79" s="12">
        <f t="shared" ref="X79" si="564">0.5*(X78+X80)</f>
        <v>0.29250000000000004</v>
      </c>
      <c r="Y79" s="12">
        <f t="shared" ref="Y79" si="565">0.5*(Y78+Y80)</f>
        <v>0.28000000000000003</v>
      </c>
      <c r="Z79" s="12">
        <f t="shared" ref="Z79" si="566">0.5*(Z78+Z80)</f>
        <v>0.28000000000000003</v>
      </c>
      <c r="AA79" s="12">
        <f t="shared" ref="AA79" si="567">0.5*(AA78+AA80)</f>
        <v>0.29749999999999999</v>
      </c>
      <c r="AB79" s="12">
        <f t="shared" ref="AB79" si="568">0.5*(AB78+AB80)</f>
        <v>0.29749999999999999</v>
      </c>
      <c r="AC79" s="12">
        <f t="shared" ref="AC79" si="569">0.5*(AC78+AC80)</f>
        <v>0.35</v>
      </c>
      <c r="AD79" s="12">
        <f t="shared" ref="AD79" si="570">0.5*(AD78+AD80)</f>
        <v>0.35</v>
      </c>
      <c r="AE79" s="12">
        <f t="shared" ref="AE79" si="571">0.5*(AE78+AE80)</f>
        <v>0.4375</v>
      </c>
      <c r="AF79" s="12">
        <f t="shared" ref="AF79" si="572">0.5*(AF78+AF80)</f>
        <v>0.4375</v>
      </c>
      <c r="AG79" s="12">
        <f t="shared" ref="AG79" si="573">0.5*(AG78+AG80)</f>
        <v>0.39374999999999999</v>
      </c>
      <c r="AH79" s="12">
        <f t="shared" ref="AH79" si="574">0.5*(AH78+AH80)</f>
        <v>0.32375000000000004</v>
      </c>
      <c r="AI79" s="12">
        <f t="shared" ref="AI79" si="575">0.5*(AI78+AI80)</f>
        <v>0.28875000000000001</v>
      </c>
      <c r="AJ79" s="12">
        <f t="shared" ref="AJ79" si="576">0.5*(AJ78+AJ80)</f>
        <v>0.28625</v>
      </c>
      <c r="AK79" s="12">
        <f t="shared" ref="AK79" si="577">0.5*(AK78+AK80)</f>
        <v>0.28625</v>
      </c>
      <c r="AL79" s="12">
        <f t="shared" ref="AL79" si="578">0.5*(AL78+AL80)</f>
        <v>0.28875000000000001</v>
      </c>
      <c r="AM79" s="12">
        <f t="shared" ref="AM79" si="579">0.5*(AM78+AM80)</f>
        <v>0.32375000000000004</v>
      </c>
      <c r="AN79" s="12">
        <f t="shared" ref="AN79" si="580">0.5*(AN78+AN80)</f>
        <v>0.39374999999999999</v>
      </c>
    </row>
    <row r="80" spans="2:40">
      <c r="B80" s="17">
        <v>80</v>
      </c>
      <c r="C80" s="18" t="s">
        <v>34</v>
      </c>
      <c r="D80" s="22" t="s">
        <v>106</v>
      </c>
      <c r="E80" s="22" t="s">
        <v>107</v>
      </c>
      <c r="F80" s="22" t="s">
        <v>107</v>
      </c>
      <c r="G80" s="22" t="s">
        <v>108</v>
      </c>
      <c r="H80" s="22" t="s">
        <v>108</v>
      </c>
      <c r="I80" s="22" t="s">
        <v>78</v>
      </c>
      <c r="J80" s="22" t="s">
        <v>78</v>
      </c>
      <c r="K80" s="22" t="s">
        <v>68</v>
      </c>
      <c r="L80" s="9" t="str">
        <f t="shared" si="37"/>
        <v>0,40</v>
      </c>
      <c r="M80" s="9">
        <f t="shared" si="38"/>
        <v>0.39</v>
      </c>
      <c r="N80" s="9">
        <f t="shared" si="39"/>
        <v>0.33499999999999996</v>
      </c>
      <c r="O80" s="9">
        <f t="shared" si="40"/>
        <v>0.25</v>
      </c>
      <c r="P80" s="9">
        <f t="shared" si="41"/>
        <v>0.19</v>
      </c>
      <c r="Q80" s="9">
        <f t="shared" si="42"/>
        <v>0.19</v>
      </c>
      <c r="R80" s="9">
        <f t="shared" si="43"/>
        <v>0.25</v>
      </c>
      <c r="S80" s="9">
        <f t="shared" si="44"/>
        <v>0.33499999999999996</v>
      </c>
      <c r="T80" s="9">
        <f t="shared" si="45"/>
        <v>0.39</v>
      </c>
      <c r="U80" s="16"/>
      <c r="V80" s="21">
        <v>80</v>
      </c>
      <c r="W80" s="18" t="s">
        <v>36</v>
      </c>
      <c r="X80" s="19" t="s">
        <v>109</v>
      </c>
      <c r="Y80" s="19" t="s">
        <v>110</v>
      </c>
      <c r="Z80" s="19" t="s">
        <v>110</v>
      </c>
      <c r="AA80" s="19" t="s">
        <v>111</v>
      </c>
      <c r="AB80" s="19" t="s">
        <v>111</v>
      </c>
      <c r="AC80" s="19" t="s">
        <v>81</v>
      </c>
      <c r="AD80" s="19" t="s">
        <v>81</v>
      </c>
      <c r="AE80" s="19" t="s">
        <v>112</v>
      </c>
      <c r="AF80" s="9" t="str">
        <f t="shared" si="46"/>
        <v>0,41</v>
      </c>
      <c r="AG80" s="9">
        <f t="shared" si="47"/>
        <v>0.36499999999999999</v>
      </c>
      <c r="AH80" s="9">
        <f t="shared" si="48"/>
        <v>0.29500000000000004</v>
      </c>
      <c r="AI80" s="9">
        <f t="shared" si="49"/>
        <v>0.26500000000000001</v>
      </c>
      <c r="AJ80" s="9">
        <f t="shared" si="50"/>
        <v>0.27</v>
      </c>
      <c r="AK80" s="9">
        <f t="shared" si="51"/>
        <v>0.27</v>
      </c>
      <c r="AL80" s="9">
        <f t="shared" si="52"/>
        <v>0.26500000000000001</v>
      </c>
      <c r="AM80" s="9">
        <f t="shared" si="53"/>
        <v>0.29500000000000004</v>
      </c>
      <c r="AN80" s="9">
        <f t="shared" si="54"/>
        <v>0.36499999999999999</v>
      </c>
    </row>
    <row r="81" spans="2:40">
      <c r="B81" s="7">
        <f>0.5*(B80+B82)</f>
        <v>82.5</v>
      </c>
      <c r="C81" s="7"/>
      <c r="D81" s="12">
        <f t="shared" ref="D81" si="581">0.5*(D80+D82)</f>
        <v>0.15250000000000002</v>
      </c>
      <c r="E81" s="12">
        <f t="shared" ref="E81" si="582">0.5*(E80+E82)</f>
        <v>0.1875</v>
      </c>
      <c r="F81" s="12">
        <f t="shared" ref="F81" si="583">0.5*(F80+F82)</f>
        <v>0.1875</v>
      </c>
      <c r="G81" s="12">
        <f t="shared" ref="G81" si="584">0.5*(G80+G82)</f>
        <v>0.26</v>
      </c>
      <c r="H81" s="12">
        <f t="shared" ref="H81" si="585">0.5*(H80+H82)</f>
        <v>0.26</v>
      </c>
      <c r="I81" s="12">
        <f t="shared" ref="I81" si="586">0.5*(I80+I82)</f>
        <v>0.35250000000000004</v>
      </c>
      <c r="J81" s="12">
        <f t="shared" ref="J81" si="587">0.5*(J80+J82)</f>
        <v>0.35250000000000004</v>
      </c>
      <c r="K81" s="12">
        <f t="shared" ref="K81" si="588">0.5*(K80+K82)</f>
        <v>0.38250000000000001</v>
      </c>
      <c r="L81" s="12">
        <f t="shared" ref="L81" si="589">0.5*(L80+L82)</f>
        <v>0.38250000000000001</v>
      </c>
      <c r="M81" s="12">
        <f t="shared" ref="M81" si="590">0.5*(M80+M82)</f>
        <v>0.36750000000000005</v>
      </c>
      <c r="N81" s="12">
        <f t="shared" ref="N81" si="591">0.5*(N80+N82)</f>
        <v>0.30624999999999997</v>
      </c>
      <c r="O81" s="12">
        <f t="shared" ref="O81" si="592">0.5*(O80+O82)</f>
        <v>0.22375</v>
      </c>
      <c r="P81" s="12">
        <f t="shared" ref="P81" si="593">0.5*(P80+P82)</f>
        <v>0.16999999999999998</v>
      </c>
      <c r="Q81" s="12">
        <f t="shared" ref="Q81" si="594">0.5*(Q80+Q82)</f>
        <v>0.16999999999999998</v>
      </c>
      <c r="R81" s="12">
        <f t="shared" ref="R81" si="595">0.5*(R80+R82)</f>
        <v>0.22375</v>
      </c>
      <c r="S81" s="12">
        <f t="shared" ref="S81" si="596">0.5*(S80+S82)</f>
        <v>0.30624999999999997</v>
      </c>
      <c r="T81" s="13">
        <f t="shared" ref="T81" si="597">0.5*(T80+T82)</f>
        <v>0.36750000000000005</v>
      </c>
      <c r="U81" s="14"/>
      <c r="V81" s="11">
        <f t="shared" ref="V81" si="598">0.5*(V80+V82)</f>
        <v>82.5</v>
      </c>
      <c r="W81" s="7"/>
      <c r="X81" s="12">
        <f t="shared" ref="X81" si="599">0.5*(X80+X82)</f>
        <v>0.27</v>
      </c>
      <c r="Y81" s="12">
        <f t="shared" ref="Y81" si="600">0.5*(Y80+Y82)</f>
        <v>0.24249999999999999</v>
      </c>
      <c r="Z81" s="12">
        <f t="shared" ref="Z81" si="601">0.5*(Z80+Z82)</f>
        <v>0.24249999999999999</v>
      </c>
      <c r="AA81" s="12">
        <f t="shared" ref="AA81" si="602">0.5*(AA80+AA82)</f>
        <v>0.2475</v>
      </c>
      <c r="AB81" s="12">
        <f t="shared" ref="AB81" si="603">0.5*(AB80+AB82)</f>
        <v>0.2475</v>
      </c>
      <c r="AC81" s="12">
        <f t="shared" ref="AC81" si="604">0.5*(AC80+AC82)</f>
        <v>0.29500000000000004</v>
      </c>
      <c r="AD81" s="12">
        <f t="shared" ref="AD81" si="605">0.5*(AD80+AD82)</f>
        <v>0.29500000000000004</v>
      </c>
      <c r="AE81" s="12">
        <f t="shared" ref="AE81" si="606">0.5*(AE80+AE82)</f>
        <v>0.38249999999999995</v>
      </c>
      <c r="AF81" s="12">
        <f t="shared" ref="AF81" si="607">0.5*(AF80+AF82)</f>
        <v>0.38249999999999995</v>
      </c>
      <c r="AG81" s="12">
        <f t="shared" ref="AG81" si="608">0.5*(AG80+AG82)</f>
        <v>0.33875</v>
      </c>
      <c r="AH81" s="12">
        <f t="shared" ref="AH81" si="609">0.5*(AH80+AH82)</f>
        <v>0.27125000000000005</v>
      </c>
      <c r="AI81" s="12">
        <f t="shared" ref="AI81" si="610">0.5*(AI80+AI82)</f>
        <v>0.245</v>
      </c>
      <c r="AJ81" s="12">
        <f t="shared" ref="AJ81" si="611">0.5*(AJ80+AJ82)</f>
        <v>0.25624999999999998</v>
      </c>
      <c r="AK81" s="12">
        <f t="shared" ref="AK81" si="612">0.5*(AK80+AK82)</f>
        <v>0.25624999999999998</v>
      </c>
      <c r="AL81" s="12">
        <f t="shared" ref="AL81" si="613">0.5*(AL80+AL82)</f>
        <v>0.245</v>
      </c>
      <c r="AM81" s="12">
        <f t="shared" ref="AM81" si="614">0.5*(AM80+AM82)</f>
        <v>0.27125000000000005</v>
      </c>
      <c r="AN81" s="12">
        <f t="shared" ref="AN81" si="615">0.5*(AN80+AN82)</f>
        <v>0.33875</v>
      </c>
    </row>
    <row r="82" spans="2:40">
      <c r="B82" s="17">
        <v>85</v>
      </c>
      <c r="C82" s="18" t="s">
        <v>34</v>
      </c>
      <c r="D82" s="22">
        <f>0.5*(D80+D84)</f>
        <v>0.13500000000000001</v>
      </c>
      <c r="E82" s="22">
        <f t="shared" ref="E82:AN82" si="616">0.5*(E80+E84)</f>
        <v>0.16499999999999998</v>
      </c>
      <c r="F82" s="22">
        <f t="shared" si="616"/>
        <v>0.16499999999999998</v>
      </c>
      <c r="G82" s="22">
        <f t="shared" si="616"/>
        <v>0.22999999999999998</v>
      </c>
      <c r="H82" s="22">
        <f t="shared" si="616"/>
        <v>0.22999999999999998</v>
      </c>
      <c r="I82" s="22">
        <f t="shared" si="616"/>
        <v>0.32500000000000001</v>
      </c>
      <c r="J82" s="22">
        <f t="shared" si="616"/>
        <v>0.32500000000000001</v>
      </c>
      <c r="K82" s="22">
        <f t="shared" si="616"/>
        <v>0.36499999999999999</v>
      </c>
      <c r="L82" s="22">
        <f t="shared" si="616"/>
        <v>0.36499999999999999</v>
      </c>
      <c r="M82" s="22">
        <f t="shared" si="616"/>
        <v>0.34500000000000003</v>
      </c>
      <c r="N82" s="22">
        <f t="shared" si="616"/>
        <v>0.27749999999999997</v>
      </c>
      <c r="O82" s="22">
        <f t="shared" si="616"/>
        <v>0.19750000000000001</v>
      </c>
      <c r="P82" s="22">
        <f t="shared" si="616"/>
        <v>0.15</v>
      </c>
      <c r="Q82" s="22">
        <f t="shared" si="616"/>
        <v>0.15</v>
      </c>
      <c r="R82" s="22">
        <f t="shared" si="616"/>
        <v>0.19750000000000001</v>
      </c>
      <c r="S82" s="22">
        <f t="shared" si="616"/>
        <v>0.27749999999999997</v>
      </c>
      <c r="T82" s="166">
        <f t="shared" si="616"/>
        <v>0.34500000000000003</v>
      </c>
      <c r="U82" s="168"/>
      <c r="V82" s="167">
        <f t="shared" si="616"/>
        <v>85</v>
      </c>
      <c r="W82" s="18" t="s">
        <v>36</v>
      </c>
      <c r="X82" s="22">
        <f t="shared" si="616"/>
        <v>0.26</v>
      </c>
      <c r="Y82" s="22">
        <f t="shared" si="616"/>
        <v>0.22500000000000001</v>
      </c>
      <c r="Z82" s="22">
        <f t="shared" si="616"/>
        <v>0.22500000000000001</v>
      </c>
      <c r="AA82" s="22">
        <f t="shared" si="616"/>
        <v>0.22500000000000001</v>
      </c>
      <c r="AB82" s="22">
        <f t="shared" si="616"/>
        <v>0.22500000000000001</v>
      </c>
      <c r="AC82" s="22">
        <f t="shared" si="616"/>
        <v>0.27</v>
      </c>
      <c r="AD82" s="22">
        <f t="shared" si="616"/>
        <v>0.27</v>
      </c>
      <c r="AE82" s="22">
        <f t="shared" si="616"/>
        <v>0.35499999999999998</v>
      </c>
      <c r="AF82" s="22">
        <f t="shared" si="616"/>
        <v>0.35499999999999998</v>
      </c>
      <c r="AG82" s="22">
        <f t="shared" si="616"/>
        <v>0.3125</v>
      </c>
      <c r="AH82" s="22">
        <f t="shared" si="616"/>
        <v>0.24750000000000003</v>
      </c>
      <c r="AI82" s="22">
        <f t="shared" si="616"/>
        <v>0.22500000000000001</v>
      </c>
      <c r="AJ82" s="22">
        <f t="shared" si="616"/>
        <v>0.24249999999999999</v>
      </c>
      <c r="AK82" s="22">
        <f t="shared" si="616"/>
        <v>0.24249999999999999</v>
      </c>
      <c r="AL82" s="22">
        <f t="shared" si="616"/>
        <v>0.22500000000000001</v>
      </c>
      <c r="AM82" s="22">
        <f t="shared" si="616"/>
        <v>0.24750000000000003</v>
      </c>
      <c r="AN82" s="22">
        <f t="shared" si="616"/>
        <v>0.3125</v>
      </c>
    </row>
    <row r="83" spans="2:40">
      <c r="B83" s="7">
        <f>0.5*(B82+B84)</f>
        <v>87.5</v>
      </c>
      <c r="C83" s="7"/>
      <c r="D83" s="12">
        <f t="shared" ref="D83" si="617">0.5*(D82+D84)</f>
        <v>0.11750000000000001</v>
      </c>
      <c r="E83" s="12">
        <f t="shared" ref="E83" si="618">0.5*(E82+E84)</f>
        <v>0.14249999999999999</v>
      </c>
      <c r="F83" s="12">
        <f t="shared" ref="F83" si="619">0.5*(F82+F84)</f>
        <v>0.14249999999999999</v>
      </c>
      <c r="G83" s="12">
        <f t="shared" ref="G83" si="620">0.5*(G82+G84)</f>
        <v>0.2</v>
      </c>
      <c r="H83" s="12">
        <f t="shared" ref="H83" si="621">0.5*(H82+H84)</f>
        <v>0.2</v>
      </c>
      <c r="I83" s="12">
        <f t="shared" ref="I83" si="622">0.5*(I82+I84)</f>
        <v>0.29749999999999999</v>
      </c>
      <c r="J83" s="12">
        <f t="shared" ref="J83" si="623">0.5*(J82+J84)</f>
        <v>0.29749999999999999</v>
      </c>
      <c r="K83" s="12">
        <f t="shared" ref="K83" si="624">0.5*(K82+K84)</f>
        <v>0.34750000000000003</v>
      </c>
      <c r="L83" s="12">
        <f t="shared" ref="L83" si="625">0.5*(L82+L84)</f>
        <v>0.34750000000000003</v>
      </c>
      <c r="M83" s="12">
        <f t="shared" ref="M83" si="626">0.5*(M82+M84)</f>
        <v>0.32250000000000001</v>
      </c>
      <c r="N83" s="12">
        <f t="shared" ref="N83" si="627">0.5*(N82+N84)</f>
        <v>0.24875</v>
      </c>
      <c r="O83" s="12">
        <f t="shared" ref="O83" si="628">0.5*(O82+O84)</f>
        <v>0.17125000000000001</v>
      </c>
      <c r="P83" s="12">
        <f t="shared" ref="P83" si="629">0.5*(P82+P84)</f>
        <v>0.13</v>
      </c>
      <c r="Q83" s="12">
        <f t="shared" ref="Q83" si="630">0.5*(Q82+Q84)</f>
        <v>0.13</v>
      </c>
      <c r="R83" s="12">
        <f t="shared" ref="R83" si="631">0.5*(R82+R84)</f>
        <v>0.17125000000000001</v>
      </c>
      <c r="S83" s="12">
        <f t="shared" ref="S83" si="632">0.5*(S82+S84)</f>
        <v>0.24875</v>
      </c>
      <c r="T83" s="13">
        <f t="shared" ref="T83" si="633">0.5*(T82+T84)</f>
        <v>0.32250000000000001</v>
      </c>
      <c r="U83" s="14"/>
      <c r="V83" s="11">
        <f t="shared" ref="V83" si="634">0.5*(V82+V84)</f>
        <v>87.5</v>
      </c>
      <c r="W83" s="7"/>
      <c r="X83" s="12">
        <f t="shared" ref="X83" si="635">0.5*(X82+X84)</f>
        <v>0.25</v>
      </c>
      <c r="Y83" s="12">
        <f t="shared" ref="Y83" si="636">0.5*(Y82+Y84)</f>
        <v>0.20750000000000002</v>
      </c>
      <c r="Z83" s="12">
        <f t="shared" ref="Z83" si="637">0.5*(Z82+Z84)</f>
        <v>0.20750000000000002</v>
      </c>
      <c r="AA83" s="12">
        <f t="shared" ref="AA83" si="638">0.5*(AA82+AA84)</f>
        <v>0.20250000000000001</v>
      </c>
      <c r="AB83" s="12">
        <f t="shared" ref="AB83" si="639">0.5*(AB82+AB84)</f>
        <v>0.20250000000000001</v>
      </c>
      <c r="AC83" s="12">
        <f t="shared" ref="AC83" si="640">0.5*(AC82+AC84)</f>
        <v>0.245</v>
      </c>
      <c r="AD83" s="12">
        <f t="shared" ref="AD83" si="641">0.5*(AD82+AD84)</f>
        <v>0.245</v>
      </c>
      <c r="AE83" s="12">
        <f t="shared" ref="AE83" si="642">0.5*(AE82+AE84)</f>
        <v>0.32750000000000001</v>
      </c>
      <c r="AF83" s="12">
        <f t="shared" ref="AF83" si="643">0.5*(AF82+AF84)</f>
        <v>0.32750000000000001</v>
      </c>
      <c r="AG83" s="12">
        <f t="shared" ref="AG83" si="644">0.5*(AG82+AG84)</f>
        <v>0.28625</v>
      </c>
      <c r="AH83" s="12">
        <f t="shared" ref="AH83" si="645">0.5*(AH82+AH84)</f>
        <v>0.22375</v>
      </c>
      <c r="AI83" s="12">
        <f t="shared" ref="AI83" si="646">0.5*(AI82+AI84)</f>
        <v>0.20500000000000002</v>
      </c>
      <c r="AJ83" s="12">
        <f t="shared" ref="AJ83" si="647">0.5*(AJ82+AJ84)</f>
        <v>0.22875000000000001</v>
      </c>
      <c r="AK83" s="12">
        <f t="shared" ref="AK83" si="648">0.5*(AK82+AK84)</f>
        <v>0.22875000000000001</v>
      </c>
      <c r="AL83" s="12">
        <f t="shared" ref="AL83" si="649">0.5*(AL82+AL84)</f>
        <v>0.20500000000000002</v>
      </c>
      <c r="AM83" s="12">
        <f t="shared" ref="AM83" si="650">0.5*(AM82+AM84)</f>
        <v>0.22375</v>
      </c>
      <c r="AN83" s="12">
        <f t="shared" ref="AN83" si="651">0.5*(AN82+AN84)</f>
        <v>0.28625</v>
      </c>
    </row>
    <row r="84" spans="2:40">
      <c r="B84" s="17">
        <v>90</v>
      </c>
      <c r="C84" s="18" t="s">
        <v>34</v>
      </c>
      <c r="D84" s="22" t="s">
        <v>113</v>
      </c>
      <c r="E84" s="22" t="s">
        <v>114</v>
      </c>
      <c r="F84" s="22" t="s">
        <v>114</v>
      </c>
      <c r="G84" s="22" t="s">
        <v>106</v>
      </c>
      <c r="H84" s="22" t="s">
        <v>106</v>
      </c>
      <c r="I84" s="22" t="s">
        <v>111</v>
      </c>
      <c r="J84" s="22" t="s">
        <v>111</v>
      </c>
      <c r="K84" s="22" t="s">
        <v>105</v>
      </c>
      <c r="L84" s="9" t="str">
        <f t="shared" si="37"/>
        <v>0,33</v>
      </c>
      <c r="M84" s="9">
        <f t="shared" si="38"/>
        <v>0.30000000000000004</v>
      </c>
      <c r="N84" s="9">
        <f t="shared" si="39"/>
        <v>0.22000000000000003</v>
      </c>
      <c r="O84" s="9">
        <f t="shared" si="40"/>
        <v>0.14500000000000002</v>
      </c>
      <c r="P84" s="9">
        <f t="shared" si="41"/>
        <v>0.11</v>
      </c>
      <c r="Q84" s="9">
        <f t="shared" si="42"/>
        <v>0.11</v>
      </c>
      <c r="R84" s="9">
        <f t="shared" si="43"/>
        <v>0.14500000000000002</v>
      </c>
      <c r="S84" s="9">
        <f t="shared" si="44"/>
        <v>0.22000000000000003</v>
      </c>
      <c r="T84" s="9">
        <f t="shared" si="45"/>
        <v>0.30000000000000004</v>
      </c>
      <c r="U84" s="16"/>
      <c r="V84" s="21">
        <v>90</v>
      </c>
      <c r="W84" s="18" t="s">
        <v>36</v>
      </c>
      <c r="X84" s="19" t="s">
        <v>115</v>
      </c>
      <c r="Y84" s="19" t="s">
        <v>116</v>
      </c>
      <c r="Z84" s="19" t="s">
        <v>116</v>
      </c>
      <c r="AA84" s="19" t="s">
        <v>117</v>
      </c>
      <c r="AB84" s="19" t="s">
        <v>117</v>
      </c>
      <c r="AC84" s="19" t="s">
        <v>118</v>
      </c>
      <c r="AD84" s="19" t="s">
        <v>118</v>
      </c>
      <c r="AE84" s="19" t="s">
        <v>119</v>
      </c>
      <c r="AF84" s="9" t="str">
        <f t="shared" si="46"/>
        <v>0,30</v>
      </c>
      <c r="AG84" s="9">
        <f t="shared" si="47"/>
        <v>0.26</v>
      </c>
      <c r="AH84" s="9">
        <f t="shared" si="48"/>
        <v>0.2</v>
      </c>
      <c r="AI84" s="9">
        <f t="shared" si="49"/>
        <v>0.185</v>
      </c>
      <c r="AJ84" s="9">
        <f t="shared" si="50"/>
        <v>0.215</v>
      </c>
      <c r="AK84" s="9">
        <f t="shared" si="51"/>
        <v>0.215</v>
      </c>
      <c r="AL84" s="9">
        <f t="shared" si="52"/>
        <v>0.185</v>
      </c>
      <c r="AM84" s="9">
        <f t="shared" si="53"/>
        <v>0.2</v>
      </c>
      <c r="AN84" s="9">
        <f t="shared" si="54"/>
        <v>0.26</v>
      </c>
    </row>
    <row r="87" spans="2:40">
      <c r="B87" s="980" t="s">
        <v>132</v>
      </c>
      <c r="C87" s="980"/>
      <c r="D87" s="980"/>
      <c r="E87" s="980"/>
      <c r="F87" s="980"/>
      <c r="G87" s="980"/>
      <c r="H87" s="980"/>
      <c r="I87" s="980"/>
      <c r="J87" s="980"/>
      <c r="K87" s="980"/>
      <c r="L87" s="23"/>
      <c r="M87" s="23"/>
      <c r="N87" s="23"/>
      <c r="O87" s="23"/>
      <c r="P87" s="23"/>
      <c r="Q87" s="23"/>
      <c r="R87" s="23"/>
      <c r="S87" s="23"/>
      <c r="T87" s="23"/>
      <c r="V87" s="980" t="s">
        <v>132</v>
      </c>
      <c r="W87" s="980"/>
      <c r="X87" s="980"/>
      <c r="Y87" s="980"/>
      <c r="Z87" s="980"/>
      <c r="AA87" s="980"/>
      <c r="AB87" s="980"/>
      <c r="AC87" s="980"/>
      <c r="AD87" s="980"/>
      <c r="AE87" s="980"/>
    </row>
    <row r="88" spans="2:40">
      <c r="B88" s="981" t="s">
        <v>120</v>
      </c>
      <c r="C88" s="981" t="s">
        <v>32</v>
      </c>
      <c r="D88" s="983" t="s">
        <v>33</v>
      </c>
      <c r="E88" s="984"/>
      <c r="F88" s="984"/>
      <c r="G88" s="984"/>
      <c r="H88" s="984"/>
      <c r="I88" s="984"/>
      <c r="J88" s="984"/>
      <c r="K88" s="985"/>
      <c r="L88" s="15"/>
      <c r="M88" s="15"/>
      <c r="N88" s="15"/>
      <c r="O88" s="15"/>
      <c r="P88" s="15"/>
      <c r="Q88" s="15"/>
      <c r="R88" s="15"/>
      <c r="S88" s="15"/>
      <c r="T88" s="15"/>
      <c r="V88" s="981" t="s">
        <v>120</v>
      </c>
      <c r="W88" s="981" t="s">
        <v>32</v>
      </c>
      <c r="X88" s="983" t="s">
        <v>33</v>
      </c>
      <c r="Y88" s="984"/>
      <c r="Z88" s="984"/>
      <c r="AA88" s="984"/>
      <c r="AB88" s="984"/>
      <c r="AC88" s="984"/>
      <c r="AD88" s="984"/>
      <c r="AE88" s="985"/>
    </row>
    <row r="89" spans="2:40">
      <c r="B89" s="982"/>
      <c r="C89" s="982"/>
      <c r="D89" s="24">
        <v>180</v>
      </c>
      <c r="E89" s="24">
        <v>225</v>
      </c>
      <c r="F89" s="24">
        <v>270</v>
      </c>
      <c r="G89" s="24">
        <v>315</v>
      </c>
      <c r="H89" s="24">
        <v>0</v>
      </c>
      <c r="I89" s="24">
        <v>45</v>
      </c>
      <c r="J89" s="24">
        <v>90</v>
      </c>
      <c r="K89" s="24">
        <v>135</v>
      </c>
      <c r="L89" s="15">
        <v>360</v>
      </c>
      <c r="M89" s="15">
        <f t="shared" ref="M89:O90" si="652">0.5*(H89+I89)</f>
        <v>22.5</v>
      </c>
      <c r="N89" s="15">
        <f t="shared" si="652"/>
        <v>67.5</v>
      </c>
      <c r="O89" s="15">
        <f t="shared" si="652"/>
        <v>112.5</v>
      </c>
      <c r="P89" s="15">
        <f>0.5*(K89+D89)</f>
        <v>157.5</v>
      </c>
      <c r="Q89" s="15">
        <f t="shared" ref="Q89:S90" si="653">0.5*(D89+E89)</f>
        <v>202.5</v>
      </c>
      <c r="R89" s="15">
        <f t="shared" si="653"/>
        <v>247.5</v>
      </c>
      <c r="S89" s="15">
        <f t="shared" si="653"/>
        <v>292.5</v>
      </c>
      <c r="T89" s="15">
        <f>0.5*(G89+L89)</f>
        <v>337.5</v>
      </c>
      <c r="V89" s="982"/>
      <c r="W89" s="982"/>
      <c r="X89" s="24">
        <v>180</v>
      </c>
      <c r="Y89" s="24">
        <v>225</v>
      </c>
      <c r="Z89" s="24">
        <v>270</v>
      </c>
      <c r="AA89" s="24">
        <v>315</v>
      </c>
      <c r="AB89" s="24">
        <v>0</v>
      </c>
      <c r="AC89" s="24">
        <v>45</v>
      </c>
      <c r="AD89" s="24">
        <v>90</v>
      </c>
      <c r="AE89" s="24">
        <v>135</v>
      </c>
      <c r="AF89" s="15">
        <v>360</v>
      </c>
      <c r="AG89" s="15">
        <f t="shared" ref="AG89:AI90" si="654">0.5*(AB89+AC89)</f>
        <v>22.5</v>
      </c>
      <c r="AH89" s="15">
        <f t="shared" si="654"/>
        <v>67.5</v>
      </c>
      <c r="AI89" s="15">
        <f t="shared" si="654"/>
        <v>112.5</v>
      </c>
      <c r="AJ89" s="15">
        <f>0.5*(AE89+X89)</f>
        <v>157.5</v>
      </c>
      <c r="AK89" s="15">
        <f t="shared" ref="AK89:AM90" si="655">0.5*(X89+Y89)</f>
        <v>202.5</v>
      </c>
      <c r="AL89" s="15">
        <f t="shared" si="655"/>
        <v>247.5</v>
      </c>
      <c r="AM89" s="15">
        <f t="shared" si="655"/>
        <v>292.5</v>
      </c>
      <c r="AN89" s="15">
        <f>0.5*(AA89+AF89)</f>
        <v>337.5</v>
      </c>
    </row>
    <row r="90" spans="2:40">
      <c r="B90" s="25">
        <v>0</v>
      </c>
      <c r="C90" s="18" t="s">
        <v>34</v>
      </c>
      <c r="D90" s="19" t="s">
        <v>35</v>
      </c>
      <c r="E90" s="19" t="s">
        <v>35</v>
      </c>
      <c r="F90" s="19" t="s">
        <v>35</v>
      </c>
      <c r="G90" s="19" t="s">
        <v>35</v>
      </c>
      <c r="H90" s="19" t="s">
        <v>35</v>
      </c>
      <c r="I90" s="19" t="s">
        <v>35</v>
      </c>
      <c r="J90" s="19" t="s">
        <v>35</v>
      </c>
      <c r="K90" s="19" t="s">
        <v>35</v>
      </c>
      <c r="L90" s="19" t="str">
        <f>H90</f>
        <v>1,00</v>
      </c>
      <c r="M90" s="19">
        <f t="shared" si="652"/>
        <v>1</v>
      </c>
      <c r="N90" s="19">
        <f t="shared" si="652"/>
        <v>1</v>
      </c>
      <c r="O90" s="19">
        <f t="shared" si="652"/>
        <v>1</v>
      </c>
      <c r="P90" s="19">
        <f>0.5*(K90+D90)</f>
        <v>1</v>
      </c>
      <c r="Q90" s="19">
        <f t="shared" si="653"/>
        <v>1</v>
      </c>
      <c r="R90" s="19">
        <f t="shared" si="653"/>
        <v>1</v>
      </c>
      <c r="S90" s="19">
        <f t="shared" si="653"/>
        <v>1</v>
      </c>
      <c r="T90" s="19">
        <f>0.5*(G90+L90)</f>
        <v>1</v>
      </c>
      <c r="V90" s="26">
        <v>0</v>
      </c>
      <c r="W90" s="18" t="s">
        <v>36</v>
      </c>
      <c r="X90" s="19" t="s">
        <v>35</v>
      </c>
      <c r="Y90" s="19" t="s">
        <v>35</v>
      </c>
      <c r="Z90" s="19" t="s">
        <v>35</v>
      </c>
      <c r="AA90" s="19" t="s">
        <v>35</v>
      </c>
      <c r="AB90" s="19" t="s">
        <v>35</v>
      </c>
      <c r="AC90" s="19" t="s">
        <v>35</v>
      </c>
      <c r="AD90" s="19" t="s">
        <v>35</v>
      </c>
      <c r="AE90" s="19" t="s">
        <v>35</v>
      </c>
      <c r="AF90" s="19" t="str">
        <f>AB90</f>
        <v>1,00</v>
      </c>
      <c r="AG90" s="19">
        <f t="shared" si="654"/>
        <v>1</v>
      </c>
      <c r="AH90" s="19">
        <f t="shared" si="654"/>
        <v>1</v>
      </c>
      <c r="AI90" s="19">
        <f t="shared" si="654"/>
        <v>1</v>
      </c>
      <c r="AJ90" s="19">
        <f>0.5*(AE90+X90)</f>
        <v>1</v>
      </c>
      <c r="AK90" s="19">
        <f t="shared" si="655"/>
        <v>1</v>
      </c>
      <c r="AL90" s="19">
        <f t="shared" si="655"/>
        <v>1</v>
      </c>
      <c r="AM90" s="19">
        <f t="shared" si="655"/>
        <v>1</v>
      </c>
      <c r="AN90" s="19">
        <f>0.5*(AA90+AF90)</f>
        <v>1</v>
      </c>
    </row>
    <row r="91" spans="2:40">
      <c r="B91" s="27">
        <f>0.5*(B90+B92)</f>
        <v>5</v>
      </c>
      <c r="C91" s="12"/>
      <c r="D91" s="12">
        <f t="shared" ref="D91:AN91" si="656">0.5*(D90+D92)</f>
        <v>0.98499999999999999</v>
      </c>
      <c r="E91" s="12">
        <f t="shared" si="656"/>
        <v>0.98499999999999999</v>
      </c>
      <c r="F91" s="12">
        <f t="shared" si="656"/>
        <v>0.97499999999999998</v>
      </c>
      <c r="G91" s="12">
        <f t="shared" si="656"/>
        <v>0.97499999999999998</v>
      </c>
      <c r="H91" s="12">
        <f t="shared" si="656"/>
        <v>1</v>
      </c>
      <c r="I91" s="12">
        <f t="shared" si="656"/>
        <v>1</v>
      </c>
      <c r="J91" s="12">
        <f t="shared" si="656"/>
        <v>1</v>
      </c>
      <c r="K91" s="12">
        <f t="shared" si="656"/>
        <v>0.995</v>
      </c>
      <c r="L91" s="12">
        <f t="shared" si="656"/>
        <v>1</v>
      </c>
      <c r="M91" s="12">
        <f t="shared" si="656"/>
        <v>1</v>
      </c>
      <c r="N91" s="12">
        <f t="shared" si="656"/>
        <v>1</v>
      </c>
      <c r="O91" s="12">
        <f t="shared" si="656"/>
        <v>0.99750000000000005</v>
      </c>
      <c r="P91" s="12">
        <f t="shared" si="656"/>
        <v>0.99</v>
      </c>
      <c r="Q91" s="12">
        <f t="shared" si="656"/>
        <v>0.98499999999999999</v>
      </c>
      <c r="R91" s="12">
        <f t="shared" si="656"/>
        <v>0.98</v>
      </c>
      <c r="S91" s="12">
        <f t="shared" si="656"/>
        <v>0.97499999999999998</v>
      </c>
      <c r="T91" s="13">
        <f t="shared" si="656"/>
        <v>0.98750000000000004</v>
      </c>
      <c r="U91" s="28"/>
      <c r="V91" s="29">
        <f t="shared" si="656"/>
        <v>5</v>
      </c>
      <c r="W91" s="12"/>
      <c r="X91" s="12">
        <f t="shared" si="656"/>
        <v>0.98499999999999999</v>
      </c>
      <c r="Y91" s="12">
        <f t="shared" si="656"/>
        <v>0.995</v>
      </c>
      <c r="Z91" s="12">
        <f t="shared" si="656"/>
        <v>0.995</v>
      </c>
      <c r="AA91" s="12">
        <f t="shared" si="656"/>
        <v>0.98</v>
      </c>
      <c r="AB91" s="12">
        <f t="shared" si="656"/>
        <v>0.98499999999999999</v>
      </c>
      <c r="AC91" s="12">
        <f t="shared" si="656"/>
        <v>1</v>
      </c>
      <c r="AD91" s="12">
        <f t="shared" si="656"/>
        <v>1</v>
      </c>
      <c r="AE91" s="12">
        <f t="shared" si="656"/>
        <v>0.98499999999999999</v>
      </c>
      <c r="AF91" s="12">
        <f t="shared" si="656"/>
        <v>0.98499999999999999</v>
      </c>
      <c r="AG91" s="12">
        <f t="shared" si="656"/>
        <v>0.99249999999999994</v>
      </c>
      <c r="AH91" s="12">
        <f t="shared" si="656"/>
        <v>1</v>
      </c>
      <c r="AI91" s="12">
        <f t="shared" si="656"/>
        <v>0.99249999999999994</v>
      </c>
      <c r="AJ91" s="12">
        <f t="shared" si="656"/>
        <v>0.98499999999999999</v>
      </c>
      <c r="AK91" s="12">
        <f t="shared" si="656"/>
        <v>0.99</v>
      </c>
      <c r="AL91" s="12">
        <f t="shared" si="656"/>
        <v>0.995</v>
      </c>
      <c r="AM91" s="12">
        <f t="shared" si="656"/>
        <v>0.98750000000000004</v>
      </c>
      <c r="AN91" s="12">
        <f t="shared" si="656"/>
        <v>0.98249999999999993</v>
      </c>
    </row>
    <row r="92" spans="2:40">
      <c r="B92" s="25">
        <v>10</v>
      </c>
      <c r="C92" s="18" t="s">
        <v>34</v>
      </c>
      <c r="D92" s="19" t="s">
        <v>38</v>
      </c>
      <c r="E92" s="19" t="s">
        <v>38</v>
      </c>
      <c r="F92" s="19" t="s">
        <v>40</v>
      </c>
      <c r="G92" s="19" t="s">
        <v>40</v>
      </c>
      <c r="H92" s="19" t="s">
        <v>35</v>
      </c>
      <c r="I92" s="19" t="s">
        <v>35</v>
      </c>
      <c r="J92" s="19" t="s">
        <v>35</v>
      </c>
      <c r="K92" s="19" t="s">
        <v>63</v>
      </c>
      <c r="L92" s="19" t="str">
        <f t="shared" ref="L92:L108" si="657">H92</f>
        <v>1,00</v>
      </c>
      <c r="M92" s="19">
        <f t="shared" ref="M92:M108" si="658">0.5*(H92+I92)</f>
        <v>1</v>
      </c>
      <c r="N92" s="19">
        <f t="shared" ref="N92:N108" si="659">0.5*(I92+J92)</f>
        <v>1</v>
      </c>
      <c r="O92" s="19">
        <f t="shared" ref="O92:O108" si="660">0.5*(J92+K92)</f>
        <v>0.995</v>
      </c>
      <c r="P92" s="19">
        <f t="shared" ref="P92:P108" si="661">0.5*(K92+D92)</f>
        <v>0.98</v>
      </c>
      <c r="Q92" s="19">
        <f t="shared" ref="Q92:Q108" si="662">0.5*(D92+E92)</f>
        <v>0.97</v>
      </c>
      <c r="R92" s="19">
        <f t="shared" ref="R92:R108" si="663">0.5*(E92+F92)</f>
        <v>0.96</v>
      </c>
      <c r="S92" s="19">
        <f t="shared" ref="S92:S108" si="664">0.5*(F92+G92)</f>
        <v>0.95</v>
      </c>
      <c r="T92" s="19">
        <f t="shared" ref="T92:T106" si="665">0.5*(G92+L92)</f>
        <v>0.97499999999999998</v>
      </c>
      <c r="V92" s="26">
        <v>10</v>
      </c>
      <c r="W92" s="18" t="s">
        <v>36</v>
      </c>
      <c r="X92" s="19" t="s">
        <v>38</v>
      </c>
      <c r="Y92" s="19" t="s">
        <v>63</v>
      </c>
      <c r="Z92" s="19" t="s">
        <v>63</v>
      </c>
      <c r="AA92" s="19" t="s">
        <v>39</v>
      </c>
      <c r="AB92" s="19" t="s">
        <v>38</v>
      </c>
      <c r="AC92" s="19" t="s">
        <v>35</v>
      </c>
      <c r="AD92" s="19" t="s">
        <v>35</v>
      </c>
      <c r="AE92" s="19" t="s">
        <v>38</v>
      </c>
      <c r="AF92" s="19" t="str">
        <f t="shared" ref="AF92:AF108" si="666">AB92</f>
        <v>0,97</v>
      </c>
      <c r="AG92" s="19">
        <f t="shared" ref="AG92:AG108" si="667">0.5*(AB92+AC92)</f>
        <v>0.98499999999999999</v>
      </c>
      <c r="AH92" s="19">
        <f t="shared" ref="AH92:AH108" si="668">0.5*(AC92+AD92)</f>
        <v>1</v>
      </c>
      <c r="AI92" s="19">
        <f t="shared" ref="AI92:AI108" si="669">0.5*(AD92+AE92)</f>
        <v>0.98499999999999999</v>
      </c>
      <c r="AJ92" s="19">
        <f t="shared" ref="AJ92:AJ108" si="670">0.5*(AE92+X92)</f>
        <v>0.97</v>
      </c>
      <c r="AK92" s="19">
        <f t="shared" ref="AK92:AK108" si="671">0.5*(X92+Y92)</f>
        <v>0.98</v>
      </c>
      <c r="AL92" s="19">
        <f t="shared" ref="AL92:AL108" si="672">0.5*(Y92+Z92)</f>
        <v>0.99</v>
      </c>
      <c r="AM92" s="19">
        <f t="shared" ref="AM92:AM108" si="673">0.5*(Z92+AA92)</f>
        <v>0.97499999999999998</v>
      </c>
      <c r="AN92" s="19">
        <f t="shared" ref="AN92:AN108" si="674">0.5*(AA92+AF92)</f>
        <v>0.96499999999999997</v>
      </c>
    </row>
    <row r="93" spans="2:40">
      <c r="B93" s="27">
        <f>0.5*(B92+B94)</f>
        <v>15</v>
      </c>
      <c r="C93" s="12"/>
      <c r="D93" s="12">
        <f t="shared" ref="D93" si="675">0.5*(D92+D94)</f>
        <v>0.96</v>
      </c>
      <c r="E93" s="12">
        <f t="shared" ref="E93" si="676">0.5*(E92+E94)</f>
        <v>0.95</v>
      </c>
      <c r="F93" s="12">
        <f t="shared" ref="F93" si="677">0.5*(F92+F94)</f>
        <v>0.92500000000000004</v>
      </c>
      <c r="G93" s="12">
        <f t="shared" ref="G93" si="678">0.5*(G92+G94)</f>
        <v>0.93500000000000005</v>
      </c>
      <c r="H93" s="12">
        <f t="shared" ref="H93" si="679">0.5*(H92+H94)</f>
        <v>1</v>
      </c>
      <c r="I93" s="12">
        <f t="shared" ref="I93" si="680">0.5*(I92+I94)</f>
        <v>1</v>
      </c>
      <c r="J93" s="12">
        <f t="shared" ref="J93" si="681">0.5*(J92+J94)</f>
        <v>1</v>
      </c>
      <c r="K93" s="12">
        <f t="shared" ref="K93" si="682">0.5*(K92+K94)</f>
        <v>0.99</v>
      </c>
      <c r="L93" s="12">
        <f t="shared" ref="L93" si="683">0.5*(L92+L94)</f>
        <v>1</v>
      </c>
      <c r="M93" s="12">
        <f t="shared" ref="M93" si="684">0.5*(M92+M94)</f>
        <v>1</v>
      </c>
      <c r="N93" s="12">
        <f t="shared" ref="N93" si="685">0.5*(N92+N94)</f>
        <v>1</v>
      </c>
      <c r="O93" s="12">
        <f t="shared" ref="O93" si="686">0.5*(O92+O94)</f>
        <v>0.995</v>
      </c>
      <c r="P93" s="12">
        <f t="shared" ref="P93" si="687">0.5*(P92+P94)</f>
        <v>0.97499999999999998</v>
      </c>
      <c r="Q93" s="12">
        <f t="shared" ref="Q93" si="688">0.5*(Q92+Q94)</f>
        <v>0.95499999999999996</v>
      </c>
      <c r="R93" s="12">
        <f t="shared" ref="R93" si="689">0.5*(R92+R94)</f>
        <v>0.9375</v>
      </c>
      <c r="S93" s="12">
        <f t="shared" ref="S93" si="690">0.5*(S92+S94)</f>
        <v>0.92999999999999994</v>
      </c>
      <c r="T93" s="13">
        <f t="shared" ref="T93" si="691">0.5*(T92+T94)</f>
        <v>0.96750000000000003</v>
      </c>
      <c r="U93" s="28"/>
      <c r="V93" s="29">
        <f t="shared" ref="V93" si="692">0.5*(V92+V94)</f>
        <v>15</v>
      </c>
      <c r="W93" s="12"/>
      <c r="X93" s="12">
        <f t="shared" ref="X93" si="693">0.5*(X92+X94)</f>
        <v>0.96</v>
      </c>
      <c r="Y93" s="12">
        <f t="shared" ref="Y93" si="694">0.5*(Y92+Y94)</f>
        <v>0.99</v>
      </c>
      <c r="Z93" s="12">
        <f t="shared" ref="Z93" si="695">0.5*(Z92+Z94)</f>
        <v>0.98499999999999999</v>
      </c>
      <c r="AA93" s="12">
        <f t="shared" ref="AA93" si="696">0.5*(AA92+AA94)</f>
        <v>0.94500000000000006</v>
      </c>
      <c r="AB93" s="12">
        <f t="shared" ref="AB93" si="697">0.5*(AB92+AB94)</f>
        <v>0.96</v>
      </c>
      <c r="AC93" s="12">
        <f t="shared" ref="AC93" si="698">0.5*(AC92+AC94)</f>
        <v>1</v>
      </c>
      <c r="AD93" s="12">
        <f t="shared" ref="AD93" si="699">0.5*(AD92+AD94)</f>
        <v>0.995</v>
      </c>
      <c r="AE93" s="12">
        <f t="shared" ref="AE93" si="700">0.5*(AE92+AE94)</f>
        <v>0.95499999999999996</v>
      </c>
      <c r="AF93" s="12">
        <f t="shared" ref="AF93" si="701">0.5*(AF92+AF94)</f>
        <v>0.96</v>
      </c>
      <c r="AG93" s="12">
        <f t="shared" ref="AG93" si="702">0.5*(AG92+AG94)</f>
        <v>0.98</v>
      </c>
      <c r="AH93" s="12">
        <f t="shared" ref="AH93" si="703">0.5*(AH92+AH94)</f>
        <v>0.99750000000000005</v>
      </c>
      <c r="AI93" s="12">
        <f t="shared" ref="AI93" si="704">0.5*(AI92+AI94)</f>
        <v>0.97499999999999998</v>
      </c>
      <c r="AJ93" s="12">
        <f t="shared" ref="AJ93" si="705">0.5*(AJ92+AJ94)</f>
        <v>0.95750000000000002</v>
      </c>
      <c r="AK93" s="12">
        <f t="shared" ref="AK93" si="706">0.5*(AK92+AK94)</f>
        <v>0.97499999999999998</v>
      </c>
      <c r="AL93" s="12">
        <f t="shared" ref="AL93" si="707">0.5*(AL92+AL94)</f>
        <v>0.98750000000000004</v>
      </c>
      <c r="AM93" s="12">
        <f t="shared" ref="AM93" si="708">0.5*(AM92+AM94)</f>
        <v>0.96500000000000008</v>
      </c>
      <c r="AN93" s="12">
        <f t="shared" ref="AN93" si="709">0.5*(AN92+AN94)</f>
        <v>0.9524999999999999</v>
      </c>
    </row>
    <row r="94" spans="2:40">
      <c r="B94" s="25">
        <v>20</v>
      </c>
      <c r="C94" s="18" t="s">
        <v>34</v>
      </c>
      <c r="D94" s="19" t="s">
        <v>40</v>
      </c>
      <c r="E94" s="19" t="s">
        <v>41</v>
      </c>
      <c r="F94" s="19" t="s">
        <v>47</v>
      </c>
      <c r="G94" s="19" t="s">
        <v>43</v>
      </c>
      <c r="H94" s="19" t="s">
        <v>35</v>
      </c>
      <c r="I94" s="19" t="s">
        <v>35</v>
      </c>
      <c r="J94" s="19" t="s">
        <v>35</v>
      </c>
      <c r="K94" s="19" t="s">
        <v>63</v>
      </c>
      <c r="L94" s="19" t="str">
        <f t="shared" si="657"/>
        <v>1,00</v>
      </c>
      <c r="M94" s="19">
        <f t="shared" si="658"/>
        <v>1</v>
      </c>
      <c r="N94" s="19">
        <f t="shared" si="659"/>
        <v>1</v>
      </c>
      <c r="O94" s="19">
        <f t="shared" si="660"/>
        <v>0.995</v>
      </c>
      <c r="P94" s="19">
        <f t="shared" si="661"/>
        <v>0.97</v>
      </c>
      <c r="Q94" s="19">
        <f t="shared" si="662"/>
        <v>0.94</v>
      </c>
      <c r="R94" s="19">
        <f t="shared" si="663"/>
        <v>0.91500000000000004</v>
      </c>
      <c r="S94" s="19">
        <f t="shared" si="664"/>
        <v>0.91</v>
      </c>
      <c r="T94" s="19">
        <f t="shared" si="665"/>
        <v>0.96</v>
      </c>
      <c r="V94" s="26">
        <v>20</v>
      </c>
      <c r="W94" s="18" t="s">
        <v>36</v>
      </c>
      <c r="X94" s="19" t="s">
        <v>40</v>
      </c>
      <c r="Y94" s="19" t="s">
        <v>63</v>
      </c>
      <c r="Z94" s="19" t="s">
        <v>37</v>
      </c>
      <c r="AA94" s="19" t="s">
        <v>41</v>
      </c>
      <c r="AB94" s="19" t="s">
        <v>40</v>
      </c>
      <c r="AC94" s="19" t="s">
        <v>35</v>
      </c>
      <c r="AD94" s="19" t="s">
        <v>63</v>
      </c>
      <c r="AE94" s="19" t="s">
        <v>42</v>
      </c>
      <c r="AF94" s="19" t="str">
        <f t="shared" si="666"/>
        <v>0,95</v>
      </c>
      <c r="AG94" s="19">
        <f t="shared" si="667"/>
        <v>0.97499999999999998</v>
      </c>
      <c r="AH94" s="19">
        <f t="shared" si="668"/>
        <v>0.995</v>
      </c>
      <c r="AI94" s="19">
        <f t="shared" si="669"/>
        <v>0.96499999999999997</v>
      </c>
      <c r="AJ94" s="19">
        <f t="shared" si="670"/>
        <v>0.94499999999999995</v>
      </c>
      <c r="AK94" s="19">
        <f t="shared" si="671"/>
        <v>0.97</v>
      </c>
      <c r="AL94" s="19">
        <f t="shared" si="672"/>
        <v>0.98499999999999999</v>
      </c>
      <c r="AM94" s="19">
        <f t="shared" si="673"/>
        <v>0.95500000000000007</v>
      </c>
      <c r="AN94" s="19">
        <f t="shared" si="674"/>
        <v>0.94</v>
      </c>
    </row>
    <row r="95" spans="2:40">
      <c r="B95" s="27">
        <f>0.5*(B94+B96)</f>
        <v>25</v>
      </c>
      <c r="C95" s="12"/>
      <c r="D95" s="12">
        <f t="shared" ref="D95" si="710">0.5*(D94+D96)</f>
        <v>0.93500000000000005</v>
      </c>
      <c r="E95" s="12">
        <f t="shared" ref="E95" si="711">0.5*(E94+E96)</f>
        <v>0.91500000000000004</v>
      </c>
      <c r="F95" s="12">
        <f t="shared" ref="F95" si="712">0.5*(F94+F96)</f>
        <v>0.88</v>
      </c>
      <c r="G95" s="12">
        <f t="shared" ref="G95" si="713">0.5*(G94+G96)</f>
        <v>0.90500000000000003</v>
      </c>
      <c r="H95" s="12">
        <f t="shared" ref="H95" si="714">0.5*(H94+H96)</f>
        <v>1</v>
      </c>
      <c r="I95" s="12">
        <f t="shared" ref="I95" si="715">0.5*(I94+I96)</f>
        <v>1</v>
      </c>
      <c r="J95" s="12">
        <f t="shared" ref="J95" si="716">0.5*(J94+J96)</f>
        <v>1</v>
      </c>
      <c r="K95" s="12">
        <f t="shared" ref="K95" si="717">0.5*(K94+K96)</f>
        <v>0.98499999999999999</v>
      </c>
      <c r="L95" s="12">
        <f t="shared" ref="L95" si="718">0.5*(L94+L96)</f>
        <v>1</v>
      </c>
      <c r="M95" s="12">
        <f t="shared" ref="M95" si="719">0.5*(M94+M96)</f>
        <v>1</v>
      </c>
      <c r="N95" s="12">
        <f t="shared" ref="N95" si="720">0.5*(N94+N96)</f>
        <v>1</v>
      </c>
      <c r="O95" s="12">
        <f t="shared" ref="O95" si="721">0.5*(O94+O96)</f>
        <v>0.99249999999999994</v>
      </c>
      <c r="P95" s="12">
        <f t="shared" ref="P95" si="722">0.5*(P94+P96)</f>
        <v>0.96</v>
      </c>
      <c r="Q95" s="12">
        <f t="shared" ref="Q95" si="723">0.5*(Q94+Q96)</f>
        <v>0.92500000000000004</v>
      </c>
      <c r="R95" s="12">
        <f t="shared" ref="R95" si="724">0.5*(R94+R96)</f>
        <v>0.89749999999999996</v>
      </c>
      <c r="S95" s="12">
        <f t="shared" ref="S95" si="725">0.5*(S94+S96)</f>
        <v>0.89250000000000007</v>
      </c>
      <c r="T95" s="13">
        <f t="shared" ref="T95" si="726">0.5*(T94+T96)</f>
        <v>0.95250000000000001</v>
      </c>
      <c r="U95" s="28"/>
      <c r="V95" s="29">
        <f t="shared" ref="V95" si="727">0.5*(V94+V96)</f>
        <v>25</v>
      </c>
      <c r="W95" s="12"/>
      <c r="X95" s="12">
        <f t="shared" ref="X95" si="728">0.5*(X94+X96)</f>
        <v>0.94</v>
      </c>
      <c r="Y95" s="12">
        <f t="shared" ref="Y95" si="729">0.5*(Y94+Y96)</f>
        <v>0.98499999999999999</v>
      </c>
      <c r="Z95" s="12">
        <f t="shared" ref="Z95" si="730">0.5*(Z94+Z96)</f>
        <v>0.97</v>
      </c>
      <c r="AA95" s="12">
        <f t="shared" ref="AA95" si="731">0.5*(AA94+AA96)</f>
        <v>0.91</v>
      </c>
      <c r="AB95" s="12">
        <f t="shared" ref="AB95" si="732">0.5*(AB94+AB96)</f>
        <v>0.94</v>
      </c>
      <c r="AC95" s="12">
        <f t="shared" ref="AC95" si="733">0.5*(AC94+AC96)</f>
        <v>1</v>
      </c>
      <c r="AD95" s="12">
        <f t="shared" ref="AD95" si="734">0.5*(AD94+AD96)</f>
        <v>0.99</v>
      </c>
      <c r="AE95" s="12">
        <f t="shared" ref="AE95" si="735">0.5*(AE94+AE96)</f>
        <v>0.91999999999999993</v>
      </c>
      <c r="AF95" s="12">
        <f t="shared" ref="AF95" si="736">0.5*(AF94+AF96)</f>
        <v>0.94</v>
      </c>
      <c r="AG95" s="12">
        <f t="shared" ref="AG95" si="737">0.5*(AG94+AG96)</f>
        <v>0.97</v>
      </c>
      <c r="AH95" s="12">
        <f t="shared" ref="AH95" si="738">0.5*(AH94+AH96)</f>
        <v>0.995</v>
      </c>
      <c r="AI95" s="12">
        <f t="shared" ref="AI95" si="739">0.5*(AI94+AI96)</f>
        <v>0.95500000000000007</v>
      </c>
      <c r="AJ95" s="12">
        <f t="shared" ref="AJ95" si="740">0.5*(AJ94+AJ96)</f>
        <v>0.92999999999999994</v>
      </c>
      <c r="AK95" s="12">
        <f t="shared" ref="AK95" si="741">0.5*(AK94+AK96)</f>
        <v>0.96250000000000002</v>
      </c>
      <c r="AL95" s="12">
        <f t="shared" ref="AL95" si="742">0.5*(AL94+AL96)</f>
        <v>0.97750000000000004</v>
      </c>
      <c r="AM95" s="12">
        <f t="shared" ref="AM95" si="743">0.5*(AM94+AM96)</f>
        <v>0.94000000000000006</v>
      </c>
      <c r="AN95" s="12">
        <f t="shared" ref="AN95" si="744">0.5*(AN94+AN96)</f>
        <v>0.92500000000000004</v>
      </c>
    </row>
    <row r="96" spans="2:40">
      <c r="B96" s="25">
        <v>30</v>
      </c>
      <c r="C96" s="18" t="s">
        <v>34</v>
      </c>
      <c r="D96" s="19" t="s">
        <v>43</v>
      </c>
      <c r="E96" s="19" t="s">
        <v>47</v>
      </c>
      <c r="F96" s="19" t="s">
        <v>46</v>
      </c>
      <c r="G96" s="19" t="s">
        <v>45</v>
      </c>
      <c r="H96" s="19" t="s">
        <v>35</v>
      </c>
      <c r="I96" s="19" t="s">
        <v>35</v>
      </c>
      <c r="J96" s="19" t="s">
        <v>35</v>
      </c>
      <c r="K96" s="19" t="s">
        <v>37</v>
      </c>
      <c r="L96" s="19" t="str">
        <f t="shared" si="657"/>
        <v>1,00</v>
      </c>
      <c r="M96" s="19">
        <f t="shared" si="658"/>
        <v>1</v>
      </c>
      <c r="N96" s="19">
        <f t="shared" si="659"/>
        <v>1</v>
      </c>
      <c r="O96" s="19">
        <f t="shared" si="660"/>
        <v>0.99</v>
      </c>
      <c r="P96" s="19">
        <f t="shared" si="661"/>
        <v>0.95</v>
      </c>
      <c r="Q96" s="19">
        <f t="shared" si="662"/>
        <v>0.91</v>
      </c>
      <c r="R96" s="19">
        <f t="shared" si="663"/>
        <v>0.88</v>
      </c>
      <c r="S96" s="19">
        <f t="shared" si="664"/>
        <v>0.875</v>
      </c>
      <c r="T96" s="19">
        <f t="shared" si="665"/>
        <v>0.94500000000000006</v>
      </c>
      <c r="V96" s="26">
        <v>30</v>
      </c>
      <c r="W96" s="18" t="s">
        <v>36</v>
      </c>
      <c r="X96" s="19" t="s">
        <v>41</v>
      </c>
      <c r="Y96" s="19" t="s">
        <v>37</v>
      </c>
      <c r="Z96" s="19" t="s">
        <v>39</v>
      </c>
      <c r="AA96" s="19" t="s">
        <v>45</v>
      </c>
      <c r="AB96" s="19" t="s">
        <v>41</v>
      </c>
      <c r="AC96" s="19" t="s">
        <v>35</v>
      </c>
      <c r="AD96" s="19" t="s">
        <v>63</v>
      </c>
      <c r="AE96" s="19" t="s">
        <v>47</v>
      </c>
      <c r="AF96" s="19" t="str">
        <f t="shared" si="666"/>
        <v>0,93</v>
      </c>
      <c r="AG96" s="19">
        <f t="shared" si="667"/>
        <v>0.96500000000000008</v>
      </c>
      <c r="AH96" s="19">
        <f t="shared" si="668"/>
        <v>0.995</v>
      </c>
      <c r="AI96" s="19">
        <f t="shared" si="669"/>
        <v>0.94500000000000006</v>
      </c>
      <c r="AJ96" s="19">
        <f t="shared" si="670"/>
        <v>0.91500000000000004</v>
      </c>
      <c r="AK96" s="19">
        <f t="shared" si="671"/>
        <v>0.95500000000000007</v>
      </c>
      <c r="AL96" s="19">
        <f t="shared" si="672"/>
        <v>0.97</v>
      </c>
      <c r="AM96" s="19">
        <f t="shared" si="673"/>
        <v>0.92500000000000004</v>
      </c>
      <c r="AN96" s="19">
        <f t="shared" si="674"/>
        <v>0.91</v>
      </c>
    </row>
    <row r="97" spans="2:40">
      <c r="B97" s="27">
        <f>0.5*(B96+B98)</f>
        <v>35</v>
      </c>
      <c r="C97" s="12"/>
      <c r="D97" s="12">
        <f t="shared" ref="D97" si="745">0.5*(D96+D98)</f>
        <v>0.90500000000000003</v>
      </c>
      <c r="E97" s="12">
        <f t="shared" ref="E97" si="746">0.5*(E96+E98)</f>
        <v>0.88500000000000001</v>
      </c>
      <c r="F97" s="12">
        <f t="shared" ref="F97" si="747">0.5*(F96+F98)</f>
        <v>0.83000000000000007</v>
      </c>
      <c r="G97" s="12">
        <f t="shared" ref="G97" si="748">0.5*(G96+G98)</f>
        <v>0.875</v>
      </c>
      <c r="H97" s="12">
        <f t="shared" ref="H97" si="749">0.5*(H96+H98)</f>
        <v>1</v>
      </c>
      <c r="I97" s="12">
        <f t="shared" ref="I97" si="750">0.5*(I96+I98)</f>
        <v>1</v>
      </c>
      <c r="J97" s="12">
        <f t="shared" ref="J97" si="751">0.5*(J96+J98)</f>
        <v>1</v>
      </c>
      <c r="K97" s="12">
        <f t="shared" ref="K97" si="752">0.5*(K96+K98)</f>
        <v>0.97499999999999998</v>
      </c>
      <c r="L97" s="12">
        <f t="shared" ref="L97" si="753">0.5*(L96+L98)</f>
        <v>1</v>
      </c>
      <c r="M97" s="12">
        <f t="shared" ref="M97" si="754">0.5*(M96+M98)</f>
        <v>1</v>
      </c>
      <c r="N97" s="12">
        <f t="shared" ref="N97" si="755">0.5*(N96+N98)</f>
        <v>1</v>
      </c>
      <c r="O97" s="12">
        <f t="shared" ref="O97" si="756">0.5*(O96+O98)</f>
        <v>0.98750000000000004</v>
      </c>
      <c r="P97" s="12">
        <f t="shared" ref="P97" si="757">0.5*(P96+P98)</f>
        <v>0.94</v>
      </c>
      <c r="Q97" s="12">
        <f t="shared" ref="Q97" si="758">0.5*(Q96+Q98)</f>
        <v>0.89500000000000002</v>
      </c>
      <c r="R97" s="12">
        <f t="shared" ref="R97" si="759">0.5*(R96+R98)</f>
        <v>0.85749999999999993</v>
      </c>
      <c r="S97" s="12">
        <f t="shared" ref="S97" si="760">0.5*(S96+S98)</f>
        <v>0.85250000000000004</v>
      </c>
      <c r="T97" s="13">
        <f t="shared" ref="T97" si="761">0.5*(T96+T98)</f>
        <v>0.9375</v>
      </c>
      <c r="U97" s="28"/>
      <c r="V97" s="29">
        <f t="shared" ref="V97" si="762">0.5*(V96+V98)</f>
        <v>35</v>
      </c>
      <c r="W97" s="12"/>
      <c r="X97" s="12">
        <f t="shared" ref="X97" si="763">0.5*(X96+X98)</f>
        <v>0.92</v>
      </c>
      <c r="Y97" s="12">
        <f t="shared" ref="Y97" si="764">0.5*(Y96+Y98)</f>
        <v>0.97499999999999998</v>
      </c>
      <c r="Z97" s="12">
        <f t="shared" ref="Z97" si="765">0.5*(Z96+Z98)</f>
        <v>0.95499999999999996</v>
      </c>
      <c r="AA97" s="12">
        <f t="shared" ref="AA97" si="766">0.5*(AA96+AA98)</f>
        <v>0.86499999999999999</v>
      </c>
      <c r="AB97" s="12">
        <f t="shared" ref="AB97" si="767">0.5*(AB96+AB98)</f>
        <v>0.92500000000000004</v>
      </c>
      <c r="AC97" s="12">
        <f t="shared" ref="AC97" si="768">0.5*(AC96+AC98)</f>
        <v>1</v>
      </c>
      <c r="AD97" s="12">
        <f t="shared" ref="AD97" si="769">0.5*(AD96+AD98)</f>
        <v>0.98499999999999999</v>
      </c>
      <c r="AE97" s="12">
        <f t="shared" ref="AE97" si="770">0.5*(AE96+AE98)</f>
        <v>0.88</v>
      </c>
      <c r="AF97" s="12">
        <f t="shared" ref="AF97" si="771">0.5*(AF96+AF98)</f>
        <v>0.92500000000000004</v>
      </c>
      <c r="AG97" s="12">
        <f t="shared" ref="AG97" si="772">0.5*(AG96+AG98)</f>
        <v>0.96250000000000002</v>
      </c>
      <c r="AH97" s="12">
        <f t="shared" ref="AH97" si="773">0.5*(AH96+AH98)</f>
        <v>0.99249999999999994</v>
      </c>
      <c r="AI97" s="12">
        <f t="shared" ref="AI97" si="774">0.5*(AI96+AI98)</f>
        <v>0.9325</v>
      </c>
      <c r="AJ97" s="12">
        <f t="shared" ref="AJ97" si="775">0.5*(AJ96+AJ98)</f>
        <v>0.9</v>
      </c>
      <c r="AK97" s="12">
        <f t="shared" ref="AK97" si="776">0.5*(AK96+AK98)</f>
        <v>0.94750000000000001</v>
      </c>
      <c r="AL97" s="12">
        <f t="shared" ref="AL97" si="777">0.5*(AL96+AL98)</f>
        <v>0.96499999999999997</v>
      </c>
      <c r="AM97" s="12">
        <f t="shared" ref="AM97" si="778">0.5*(AM96+AM98)</f>
        <v>0.91</v>
      </c>
      <c r="AN97" s="12">
        <f t="shared" ref="AN97" si="779">0.5*(AN96+AN98)</f>
        <v>0.89500000000000002</v>
      </c>
    </row>
    <row r="98" spans="2:40">
      <c r="B98" s="25">
        <v>40</v>
      </c>
      <c r="C98" s="18" t="s">
        <v>34</v>
      </c>
      <c r="D98" s="19" t="s">
        <v>45</v>
      </c>
      <c r="E98" s="19" t="s">
        <v>51</v>
      </c>
      <c r="F98" s="19" t="s">
        <v>50</v>
      </c>
      <c r="G98" s="19" t="s">
        <v>46</v>
      </c>
      <c r="H98" s="19" t="s">
        <v>35</v>
      </c>
      <c r="I98" s="19" t="s">
        <v>35</v>
      </c>
      <c r="J98" s="19" t="s">
        <v>35</v>
      </c>
      <c r="K98" s="19" t="s">
        <v>38</v>
      </c>
      <c r="L98" s="19" t="str">
        <f t="shared" si="657"/>
        <v>1,00</v>
      </c>
      <c r="M98" s="19">
        <f t="shared" si="658"/>
        <v>1</v>
      </c>
      <c r="N98" s="19">
        <f t="shared" si="659"/>
        <v>1</v>
      </c>
      <c r="O98" s="19">
        <f t="shared" si="660"/>
        <v>0.98499999999999999</v>
      </c>
      <c r="P98" s="19">
        <f t="shared" si="661"/>
        <v>0.92999999999999994</v>
      </c>
      <c r="Q98" s="19">
        <f t="shared" si="662"/>
        <v>0.88</v>
      </c>
      <c r="R98" s="19">
        <f t="shared" si="663"/>
        <v>0.83499999999999996</v>
      </c>
      <c r="S98" s="19">
        <f t="shared" si="664"/>
        <v>0.83000000000000007</v>
      </c>
      <c r="T98" s="19">
        <f t="shared" si="665"/>
        <v>0.92999999999999994</v>
      </c>
      <c r="V98" s="26">
        <v>40</v>
      </c>
      <c r="W98" s="18" t="s">
        <v>36</v>
      </c>
      <c r="X98" s="19" t="s">
        <v>44</v>
      </c>
      <c r="Y98" s="19" t="s">
        <v>38</v>
      </c>
      <c r="Z98" s="19" t="s">
        <v>40</v>
      </c>
      <c r="AA98" s="19" t="s">
        <v>49</v>
      </c>
      <c r="AB98" s="19" t="s">
        <v>43</v>
      </c>
      <c r="AC98" s="19" t="s">
        <v>35</v>
      </c>
      <c r="AD98" s="19" t="s">
        <v>37</v>
      </c>
      <c r="AE98" s="19" t="s">
        <v>46</v>
      </c>
      <c r="AF98" s="19" t="str">
        <f t="shared" si="666"/>
        <v>0,92</v>
      </c>
      <c r="AG98" s="19">
        <f t="shared" si="667"/>
        <v>0.96</v>
      </c>
      <c r="AH98" s="19">
        <f t="shared" si="668"/>
        <v>0.99</v>
      </c>
      <c r="AI98" s="19">
        <f t="shared" si="669"/>
        <v>0.91999999999999993</v>
      </c>
      <c r="AJ98" s="19">
        <f t="shared" si="670"/>
        <v>0.88500000000000001</v>
      </c>
      <c r="AK98" s="19">
        <f t="shared" si="671"/>
        <v>0.94</v>
      </c>
      <c r="AL98" s="19">
        <f t="shared" si="672"/>
        <v>0.96</v>
      </c>
      <c r="AM98" s="19">
        <f t="shared" si="673"/>
        <v>0.89500000000000002</v>
      </c>
      <c r="AN98" s="19">
        <f t="shared" si="674"/>
        <v>0.88</v>
      </c>
    </row>
    <row r="99" spans="2:40">
      <c r="B99" s="27">
        <f>0.5*(B98+B100)</f>
        <v>45</v>
      </c>
      <c r="C99" s="12"/>
      <c r="D99" s="12">
        <f t="shared" ref="D99" si="780">0.5*(D98+D100)</f>
        <v>0.87</v>
      </c>
      <c r="E99" s="12">
        <f t="shared" ref="E99" si="781">0.5*(E98+E100)</f>
        <v>0.85</v>
      </c>
      <c r="F99" s="12">
        <f t="shared" ref="F99" si="782">0.5*(F98+F100)</f>
        <v>0.77500000000000002</v>
      </c>
      <c r="G99" s="12">
        <f t="shared" ref="G99" si="783">0.5*(G98+G100)</f>
        <v>0.85</v>
      </c>
      <c r="H99" s="12">
        <f t="shared" ref="H99" si="784">0.5*(H98+H100)</f>
        <v>1</v>
      </c>
      <c r="I99" s="12">
        <f t="shared" ref="I99" si="785">0.5*(I98+I100)</f>
        <v>1</v>
      </c>
      <c r="J99" s="12">
        <f t="shared" ref="J99" si="786">0.5*(J98+J100)</f>
        <v>1</v>
      </c>
      <c r="K99" s="12">
        <f t="shared" ref="K99" si="787">0.5*(K98+K100)</f>
        <v>0.96</v>
      </c>
      <c r="L99" s="12">
        <f t="shared" ref="L99" si="788">0.5*(L98+L100)</f>
        <v>1</v>
      </c>
      <c r="M99" s="12">
        <f t="shared" ref="M99" si="789">0.5*(M98+M100)</f>
        <v>1</v>
      </c>
      <c r="N99" s="12">
        <f t="shared" ref="N99" si="790">0.5*(N98+N100)</f>
        <v>1</v>
      </c>
      <c r="O99" s="12">
        <f t="shared" ref="O99" si="791">0.5*(O98+O100)</f>
        <v>0.98</v>
      </c>
      <c r="P99" s="12">
        <f t="shared" ref="P99" si="792">0.5*(P98+P100)</f>
        <v>0.91499999999999992</v>
      </c>
      <c r="Q99" s="12">
        <f t="shared" ref="Q99" si="793">0.5*(Q98+Q100)</f>
        <v>0.86</v>
      </c>
      <c r="R99" s="12">
        <f t="shared" ref="R99" si="794">0.5*(R98+R100)</f>
        <v>0.8125</v>
      </c>
      <c r="S99" s="12">
        <f t="shared" ref="S99" si="795">0.5*(S98+S100)</f>
        <v>0.8125</v>
      </c>
      <c r="T99" s="13">
        <f t="shared" ref="T99" si="796">0.5*(T98+T100)</f>
        <v>0.92499999999999993</v>
      </c>
      <c r="U99" s="28"/>
      <c r="V99" s="29">
        <f t="shared" ref="V99" si="797">0.5*(V98+V100)</f>
        <v>45</v>
      </c>
      <c r="W99" s="12"/>
      <c r="X99" s="12">
        <f t="shared" ref="X99" si="798">0.5*(X98+X100)</f>
        <v>0.9</v>
      </c>
      <c r="Y99" s="12">
        <f t="shared" ref="Y99" si="799">0.5*(Y98+Y100)</f>
        <v>0.96499999999999997</v>
      </c>
      <c r="Z99" s="12">
        <f t="shared" ref="Z99" si="800">0.5*(Z98+Z100)</f>
        <v>0.94</v>
      </c>
      <c r="AA99" s="12">
        <f t="shared" ref="AA99" si="801">0.5*(AA98+AA100)</f>
        <v>0.81499999999999995</v>
      </c>
      <c r="AB99" s="12">
        <f t="shared" ref="AB99" si="802">0.5*(AB98+AB100)</f>
        <v>0.92</v>
      </c>
      <c r="AC99" s="12">
        <f t="shared" ref="AC99" si="803">0.5*(AC98+AC100)</f>
        <v>1</v>
      </c>
      <c r="AD99" s="12">
        <f t="shared" ref="AD99" si="804">0.5*(AD98+AD100)</f>
        <v>0.97499999999999998</v>
      </c>
      <c r="AE99" s="12">
        <f t="shared" ref="AE99" si="805">0.5*(AE98+AE100)</f>
        <v>0.83499999999999996</v>
      </c>
      <c r="AF99" s="12">
        <f t="shared" ref="AF99" si="806">0.5*(AF98+AF100)</f>
        <v>0.92</v>
      </c>
      <c r="AG99" s="12">
        <f t="shared" ref="AG99" si="807">0.5*(AG98+AG100)</f>
        <v>0.96</v>
      </c>
      <c r="AH99" s="12">
        <f t="shared" ref="AH99" si="808">0.5*(AH98+AH100)</f>
        <v>0.98750000000000004</v>
      </c>
      <c r="AI99" s="12">
        <f t="shared" ref="AI99" si="809">0.5*(AI98+AI100)</f>
        <v>0.90500000000000003</v>
      </c>
      <c r="AJ99" s="12">
        <f t="shared" ref="AJ99" si="810">0.5*(AJ98+AJ100)</f>
        <v>0.86750000000000005</v>
      </c>
      <c r="AK99" s="12">
        <f t="shared" ref="AK99" si="811">0.5*(AK98+AK100)</f>
        <v>0.9325</v>
      </c>
      <c r="AL99" s="12">
        <f t="shared" ref="AL99" si="812">0.5*(AL98+AL100)</f>
        <v>0.95250000000000001</v>
      </c>
      <c r="AM99" s="12">
        <f t="shared" ref="AM99" si="813">0.5*(AM98+AM100)</f>
        <v>0.87750000000000006</v>
      </c>
      <c r="AN99" s="12">
        <f t="shared" ref="AN99" si="814">0.5*(AN98+AN100)</f>
        <v>0.86749999999999994</v>
      </c>
    </row>
    <row r="100" spans="2:40">
      <c r="B100" s="25">
        <v>50</v>
      </c>
      <c r="C100" s="18" t="s">
        <v>34</v>
      </c>
      <c r="D100" s="19" t="s">
        <v>59</v>
      </c>
      <c r="E100" s="19" t="s">
        <v>54</v>
      </c>
      <c r="F100" s="19" t="s">
        <v>92</v>
      </c>
      <c r="G100" s="19" t="s">
        <v>49</v>
      </c>
      <c r="H100" s="19" t="s">
        <v>35</v>
      </c>
      <c r="I100" s="19" t="s">
        <v>35</v>
      </c>
      <c r="J100" s="19" t="s">
        <v>35</v>
      </c>
      <c r="K100" s="19" t="s">
        <v>40</v>
      </c>
      <c r="L100" s="19" t="str">
        <f t="shared" si="657"/>
        <v>1,00</v>
      </c>
      <c r="M100" s="19">
        <f t="shared" si="658"/>
        <v>1</v>
      </c>
      <c r="N100" s="19">
        <f t="shared" si="659"/>
        <v>1</v>
      </c>
      <c r="O100" s="19">
        <f t="shared" si="660"/>
        <v>0.97499999999999998</v>
      </c>
      <c r="P100" s="19">
        <f t="shared" si="661"/>
        <v>0.89999999999999991</v>
      </c>
      <c r="Q100" s="19">
        <f t="shared" si="662"/>
        <v>0.84</v>
      </c>
      <c r="R100" s="19">
        <f t="shared" si="663"/>
        <v>0.79</v>
      </c>
      <c r="S100" s="19">
        <f t="shared" si="664"/>
        <v>0.79499999999999993</v>
      </c>
      <c r="T100" s="19">
        <f t="shared" si="665"/>
        <v>0.91999999999999993</v>
      </c>
      <c r="V100" s="26">
        <v>50</v>
      </c>
      <c r="W100" s="18" t="s">
        <v>36</v>
      </c>
      <c r="X100" s="19" t="s">
        <v>45</v>
      </c>
      <c r="Y100" s="19" t="s">
        <v>39</v>
      </c>
      <c r="Z100" s="19" t="s">
        <v>41</v>
      </c>
      <c r="AA100" s="19" t="s">
        <v>85</v>
      </c>
      <c r="AB100" s="19" t="s">
        <v>43</v>
      </c>
      <c r="AC100" s="19" t="s">
        <v>35</v>
      </c>
      <c r="AD100" s="19" t="s">
        <v>38</v>
      </c>
      <c r="AE100" s="19" t="s">
        <v>60</v>
      </c>
      <c r="AF100" s="19" t="str">
        <f t="shared" si="666"/>
        <v>0,92</v>
      </c>
      <c r="AG100" s="19">
        <f t="shared" si="667"/>
        <v>0.96</v>
      </c>
      <c r="AH100" s="19">
        <f t="shared" si="668"/>
        <v>0.98499999999999999</v>
      </c>
      <c r="AI100" s="19">
        <f t="shared" si="669"/>
        <v>0.89</v>
      </c>
      <c r="AJ100" s="19">
        <f t="shared" si="670"/>
        <v>0.85000000000000009</v>
      </c>
      <c r="AK100" s="19">
        <f t="shared" si="671"/>
        <v>0.92500000000000004</v>
      </c>
      <c r="AL100" s="19">
        <f t="shared" si="672"/>
        <v>0.94500000000000006</v>
      </c>
      <c r="AM100" s="19">
        <f t="shared" si="673"/>
        <v>0.8600000000000001</v>
      </c>
      <c r="AN100" s="19">
        <f t="shared" si="674"/>
        <v>0.85499999999999998</v>
      </c>
    </row>
    <row r="101" spans="2:40">
      <c r="B101" s="27">
        <f>0.5*(B100+B102)</f>
        <v>55</v>
      </c>
      <c r="C101" s="12"/>
      <c r="D101" s="12">
        <f t="shared" ref="D101" si="815">0.5*(D100+D102)</f>
        <v>0.83000000000000007</v>
      </c>
      <c r="E101" s="12">
        <f t="shared" ref="E101" si="816">0.5*(E100+E102)</f>
        <v>0.81</v>
      </c>
      <c r="F101" s="12">
        <f t="shared" ref="F101" si="817">0.5*(F100+F102)</f>
        <v>0.72</v>
      </c>
      <c r="G101" s="12">
        <f t="shared" ref="G101" si="818">0.5*(G100+G102)</f>
        <v>0.83</v>
      </c>
      <c r="H101" s="12">
        <f t="shared" ref="H101" si="819">0.5*(H100+H102)</f>
        <v>1</v>
      </c>
      <c r="I101" s="12">
        <f t="shared" ref="I101" si="820">0.5*(I100+I102)</f>
        <v>1</v>
      </c>
      <c r="J101" s="12">
        <f t="shared" ref="J101" si="821">0.5*(J100+J102)</f>
        <v>1</v>
      </c>
      <c r="K101" s="12">
        <f t="shared" ref="K101" si="822">0.5*(K100+K102)</f>
        <v>0.94</v>
      </c>
      <c r="L101" s="12">
        <f t="shared" ref="L101" si="823">0.5*(L100+L102)</f>
        <v>1</v>
      </c>
      <c r="M101" s="12">
        <f t="shared" ref="M101" si="824">0.5*(M100+M102)</f>
        <v>1</v>
      </c>
      <c r="N101" s="12">
        <f t="shared" ref="N101" si="825">0.5*(N100+N102)</f>
        <v>1</v>
      </c>
      <c r="O101" s="12">
        <f t="shared" ref="O101" si="826">0.5*(O100+O102)</f>
        <v>0.97</v>
      </c>
      <c r="P101" s="12">
        <f t="shared" ref="P101" si="827">0.5*(P100+P102)</f>
        <v>0.88500000000000001</v>
      </c>
      <c r="Q101" s="12">
        <f t="shared" ref="Q101" si="828">0.5*(Q100+Q102)</f>
        <v>0.82000000000000006</v>
      </c>
      <c r="R101" s="12">
        <f t="shared" ref="R101" si="829">0.5*(R100+R102)</f>
        <v>0.76500000000000001</v>
      </c>
      <c r="S101" s="12">
        <f t="shared" ref="S101" si="830">0.5*(S100+S102)</f>
        <v>0.77499999999999991</v>
      </c>
      <c r="T101" s="13">
        <f t="shared" ref="T101" si="831">0.5*(T100+T102)</f>
        <v>0.91499999999999992</v>
      </c>
      <c r="U101" s="28"/>
      <c r="V101" s="29">
        <f t="shared" ref="V101" si="832">0.5*(V100+V102)</f>
        <v>55</v>
      </c>
      <c r="W101" s="12"/>
      <c r="X101" s="12">
        <f t="shared" ref="X101" si="833">0.5*(X100+X102)</f>
        <v>0.88500000000000001</v>
      </c>
      <c r="Y101" s="12">
        <f t="shared" ref="Y101" si="834">0.5*(Y100+Y102)</f>
        <v>0.96</v>
      </c>
      <c r="Z101" s="12">
        <f t="shared" ref="Z101" si="835">0.5*(Z100+Z102)</f>
        <v>0.92</v>
      </c>
      <c r="AA101" s="12">
        <f t="shared" ref="AA101" si="836">0.5*(AA100+AA102)</f>
        <v>0.76</v>
      </c>
      <c r="AB101" s="12">
        <f t="shared" ref="AB101" si="837">0.5*(AB100+AB102)</f>
        <v>0.92</v>
      </c>
      <c r="AC101" s="12">
        <f t="shared" ref="AC101" si="838">0.5*(AC100+AC102)</f>
        <v>1</v>
      </c>
      <c r="AD101" s="12">
        <f t="shared" ref="AD101" si="839">0.5*(AD100+AD102)</f>
        <v>0.96499999999999997</v>
      </c>
      <c r="AE101" s="12">
        <f t="shared" ref="AE101" si="840">0.5*(AE100+AE102)</f>
        <v>0.78500000000000003</v>
      </c>
      <c r="AF101" s="12">
        <f t="shared" ref="AF101" si="841">0.5*(AF100+AF102)</f>
        <v>0.92</v>
      </c>
      <c r="AG101" s="12">
        <f t="shared" ref="AG101" si="842">0.5*(AG100+AG102)</f>
        <v>0.96</v>
      </c>
      <c r="AH101" s="12">
        <f t="shared" ref="AH101" si="843">0.5*(AH100+AH102)</f>
        <v>0.98249999999999993</v>
      </c>
      <c r="AI101" s="12">
        <f t="shared" ref="AI101" si="844">0.5*(AI100+AI102)</f>
        <v>0.875</v>
      </c>
      <c r="AJ101" s="12">
        <f t="shared" ref="AJ101" si="845">0.5*(AJ100+AJ102)</f>
        <v>0.83500000000000008</v>
      </c>
      <c r="AK101" s="12">
        <f t="shared" ref="AK101" si="846">0.5*(AK100+AK102)</f>
        <v>0.92249999999999999</v>
      </c>
      <c r="AL101" s="12">
        <f t="shared" ref="AL101" si="847">0.5*(AL100+AL102)</f>
        <v>0.94000000000000006</v>
      </c>
      <c r="AM101" s="12">
        <f t="shared" ref="AM101" si="848">0.5*(AM100+AM102)</f>
        <v>0.84000000000000008</v>
      </c>
      <c r="AN101" s="12">
        <f t="shared" ref="AN101" si="849">0.5*(AN100+AN102)</f>
        <v>0.84</v>
      </c>
    </row>
    <row r="102" spans="2:40">
      <c r="B102" s="25">
        <v>60</v>
      </c>
      <c r="C102" s="18" t="s">
        <v>34</v>
      </c>
      <c r="D102" s="19" t="s">
        <v>60</v>
      </c>
      <c r="E102" s="19" t="s">
        <v>85</v>
      </c>
      <c r="F102" s="19" t="s">
        <v>94</v>
      </c>
      <c r="G102" s="19" t="s">
        <v>55</v>
      </c>
      <c r="H102" s="19" t="s">
        <v>35</v>
      </c>
      <c r="I102" s="19" t="s">
        <v>35</v>
      </c>
      <c r="J102" s="19" t="s">
        <v>35</v>
      </c>
      <c r="K102" s="19" t="s">
        <v>41</v>
      </c>
      <c r="L102" s="19" t="str">
        <f t="shared" si="657"/>
        <v>1,00</v>
      </c>
      <c r="M102" s="19">
        <f t="shared" si="658"/>
        <v>1</v>
      </c>
      <c r="N102" s="19">
        <f>0.5*(I102+J102)</f>
        <v>1</v>
      </c>
      <c r="O102" s="19">
        <f t="shared" si="660"/>
        <v>0.96500000000000008</v>
      </c>
      <c r="P102" s="19">
        <f t="shared" si="661"/>
        <v>0.87000000000000011</v>
      </c>
      <c r="Q102" s="19">
        <f t="shared" si="662"/>
        <v>0.8</v>
      </c>
      <c r="R102" s="19">
        <f t="shared" si="663"/>
        <v>0.74</v>
      </c>
      <c r="S102" s="19">
        <f t="shared" si="664"/>
        <v>0.75499999999999989</v>
      </c>
      <c r="T102" s="19">
        <f t="shared" si="665"/>
        <v>0.90999999999999992</v>
      </c>
      <c r="V102" s="26">
        <v>60</v>
      </c>
      <c r="W102" s="18" t="s">
        <v>36</v>
      </c>
      <c r="X102" s="19" t="s">
        <v>48</v>
      </c>
      <c r="Y102" s="19" t="s">
        <v>39</v>
      </c>
      <c r="Z102" s="19" t="s">
        <v>44</v>
      </c>
      <c r="AA102" s="19" t="s">
        <v>52</v>
      </c>
      <c r="AB102" s="19" t="s">
        <v>43</v>
      </c>
      <c r="AC102" s="19" t="s">
        <v>35</v>
      </c>
      <c r="AD102" s="19" t="s">
        <v>39</v>
      </c>
      <c r="AE102" s="19" t="s">
        <v>91</v>
      </c>
      <c r="AF102" s="19" t="str">
        <f t="shared" si="666"/>
        <v>0,92</v>
      </c>
      <c r="AG102" s="19">
        <f t="shared" si="667"/>
        <v>0.96</v>
      </c>
      <c r="AH102" s="19">
        <f t="shared" si="668"/>
        <v>0.98</v>
      </c>
      <c r="AI102" s="19">
        <f t="shared" si="669"/>
        <v>0.86</v>
      </c>
      <c r="AJ102" s="19">
        <f t="shared" si="670"/>
        <v>0.82000000000000006</v>
      </c>
      <c r="AK102" s="19">
        <f t="shared" si="671"/>
        <v>0.91999999999999993</v>
      </c>
      <c r="AL102" s="19">
        <f t="shared" si="672"/>
        <v>0.93500000000000005</v>
      </c>
      <c r="AM102" s="19">
        <f t="shared" si="673"/>
        <v>0.82000000000000006</v>
      </c>
      <c r="AN102" s="19">
        <f t="shared" si="674"/>
        <v>0.82499999999999996</v>
      </c>
    </row>
    <row r="103" spans="2:40">
      <c r="B103" s="27">
        <f>0.5*(B102+B104)</f>
        <v>65</v>
      </c>
      <c r="C103" s="12"/>
      <c r="D103" s="12">
        <f t="shared" ref="D103" si="850">0.5*(D102+D104)</f>
        <v>0.78500000000000003</v>
      </c>
      <c r="E103" s="12">
        <f t="shared" ref="E103" si="851">0.5*(E102+E104)</f>
        <v>0.76</v>
      </c>
      <c r="F103" s="12">
        <f t="shared" ref="F103" si="852">0.5*(F102+F104)</f>
        <v>0.65500000000000003</v>
      </c>
      <c r="G103" s="12">
        <f t="shared" ref="G103" si="853">0.5*(G102+G104)</f>
        <v>0.81499999999999995</v>
      </c>
      <c r="H103" s="12">
        <f t="shared" ref="H103" si="854">0.5*(H102+H104)</f>
        <v>1</v>
      </c>
      <c r="I103" s="12">
        <f t="shared" ref="I103" si="855">0.5*(I102+I104)</f>
        <v>1</v>
      </c>
      <c r="J103" s="12">
        <f t="shared" ref="J103" si="856">0.5*(J102+J104)</f>
        <v>1</v>
      </c>
      <c r="K103" s="12">
        <f t="shared" ref="K103" si="857">0.5*(K102+K104)</f>
        <v>0.91500000000000004</v>
      </c>
      <c r="L103" s="12">
        <f t="shared" ref="L103" si="858">0.5*(L102+L104)</f>
        <v>1</v>
      </c>
      <c r="M103" s="12">
        <f t="shared" ref="M103" si="859">0.5*(M102+M104)</f>
        <v>1</v>
      </c>
      <c r="N103" s="12">
        <f t="shared" ref="N103" si="860">0.5*(N102+N104)</f>
        <v>1</v>
      </c>
      <c r="O103" s="12">
        <f t="shared" ref="O103" si="861">0.5*(O102+O104)</f>
        <v>0.95750000000000002</v>
      </c>
      <c r="P103" s="12">
        <f t="shared" ref="P103" si="862">0.5*(P102+P104)</f>
        <v>0.85000000000000009</v>
      </c>
      <c r="Q103" s="12">
        <f t="shared" ref="Q103" si="863">0.5*(Q102+Q104)</f>
        <v>0.77249999999999996</v>
      </c>
      <c r="R103" s="12">
        <f t="shared" ref="R103" si="864">0.5*(R102+R104)</f>
        <v>0.70750000000000002</v>
      </c>
      <c r="S103" s="12">
        <f t="shared" ref="S103" si="865">0.5*(S102+S104)</f>
        <v>0.73499999999999999</v>
      </c>
      <c r="T103" s="13">
        <f t="shared" ref="T103" si="866">0.5*(T102+T104)</f>
        <v>0.90749999999999997</v>
      </c>
      <c r="U103" s="28"/>
      <c r="V103" s="29">
        <f t="shared" ref="V103" si="867">0.5*(V102+V104)</f>
        <v>65</v>
      </c>
      <c r="W103" s="12"/>
      <c r="X103" s="12">
        <f t="shared" ref="X103" si="868">0.5*(X102+X104)</f>
        <v>0.87</v>
      </c>
      <c r="Y103" s="12">
        <f t="shared" ref="Y103" si="869">0.5*(Y102+Y104)</f>
        <v>0.95499999999999996</v>
      </c>
      <c r="Z103" s="12">
        <f t="shared" ref="Z103" si="870">0.5*(Z102+Z104)</f>
        <v>0.89500000000000002</v>
      </c>
      <c r="AA103" s="12">
        <f t="shared" ref="AA103" si="871">0.5*(AA102+AA104)</f>
        <v>0.69500000000000006</v>
      </c>
      <c r="AB103" s="12">
        <f t="shared" ref="AB103" si="872">0.5*(AB102+AB104)</f>
        <v>0.92</v>
      </c>
      <c r="AC103" s="12">
        <f t="shared" ref="AC103" si="873">0.5*(AC102+AC104)</f>
        <v>1</v>
      </c>
      <c r="AD103" s="12">
        <f t="shared" ref="AD103" si="874">0.5*(AD102+AD104)</f>
        <v>0.95</v>
      </c>
      <c r="AE103" s="12">
        <f t="shared" ref="AE103" si="875">0.5*(AE102+AE104)</f>
        <v>0.73499999999999999</v>
      </c>
      <c r="AF103" s="12">
        <f t="shared" ref="AF103" si="876">0.5*(AF102+AF104)</f>
        <v>0.92</v>
      </c>
      <c r="AG103" s="12">
        <f t="shared" ref="AG103" si="877">0.5*(AG102+AG104)</f>
        <v>0.96</v>
      </c>
      <c r="AH103" s="12">
        <f t="shared" ref="AH103" si="878">0.5*(AH102+AH104)</f>
        <v>0.97499999999999998</v>
      </c>
      <c r="AI103" s="12">
        <f t="shared" ref="AI103" si="879">0.5*(AI102+AI104)</f>
        <v>0.84250000000000003</v>
      </c>
      <c r="AJ103" s="12">
        <f t="shared" ref="AJ103" si="880">0.5*(AJ102+AJ104)</f>
        <v>0.80249999999999999</v>
      </c>
      <c r="AK103" s="12">
        <f t="shared" ref="AK103" si="881">0.5*(AK102+AK104)</f>
        <v>0.91249999999999998</v>
      </c>
      <c r="AL103" s="12">
        <f t="shared" ref="AL103" si="882">0.5*(AL102+AL104)</f>
        <v>0.92500000000000004</v>
      </c>
      <c r="AM103" s="12">
        <f t="shared" ref="AM103" si="883">0.5*(AM102+AM104)</f>
        <v>0.79500000000000004</v>
      </c>
      <c r="AN103" s="12">
        <f t="shared" ref="AN103" si="884">0.5*(AN102+AN104)</f>
        <v>0.8075</v>
      </c>
    </row>
    <row r="104" spans="2:40">
      <c r="B104" s="25">
        <v>70</v>
      </c>
      <c r="C104" s="18" t="s">
        <v>34</v>
      </c>
      <c r="D104" s="19" t="s">
        <v>91</v>
      </c>
      <c r="E104" s="19" t="s">
        <v>52</v>
      </c>
      <c r="F104" s="19" t="s">
        <v>57</v>
      </c>
      <c r="G104" s="19" t="s">
        <v>60</v>
      </c>
      <c r="H104" s="19" t="s">
        <v>35</v>
      </c>
      <c r="I104" s="19" t="s">
        <v>35</v>
      </c>
      <c r="J104" s="19" t="s">
        <v>35</v>
      </c>
      <c r="K104" s="19" t="s">
        <v>47</v>
      </c>
      <c r="L104" s="19" t="str">
        <f t="shared" si="657"/>
        <v>1,00</v>
      </c>
      <c r="M104" s="19">
        <f t="shared" si="658"/>
        <v>1</v>
      </c>
      <c r="N104" s="19">
        <f t="shared" si="659"/>
        <v>1</v>
      </c>
      <c r="O104" s="19">
        <f t="shared" si="660"/>
        <v>0.95</v>
      </c>
      <c r="P104" s="19">
        <f t="shared" si="661"/>
        <v>0.83000000000000007</v>
      </c>
      <c r="Q104" s="19">
        <f t="shared" si="662"/>
        <v>0.745</v>
      </c>
      <c r="R104" s="19">
        <f t="shared" si="663"/>
        <v>0.67500000000000004</v>
      </c>
      <c r="S104" s="19">
        <f t="shared" si="664"/>
        <v>0.71500000000000008</v>
      </c>
      <c r="T104" s="19">
        <f t="shared" si="665"/>
        <v>0.90500000000000003</v>
      </c>
      <c r="V104" s="26">
        <v>70</v>
      </c>
      <c r="W104" s="18" t="s">
        <v>36</v>
      </c>
      <c r="X104" s="19" t="s">
        <v>46</v>
      </c>
      <c r="Y104" s="19" t="s">
        <v>40</v>
      </c>
      <c r="Z104" s="19" t="s">
        <v>48</v>
      </c>
      <c r="AA104" s="19" t="s">
        <v>95</v>
      </c>
      <c r="AB104" s="19" t="s">
        <v>43</v>
      </c>
      <c r="AC104" s="19" t="s">
        <v>35</v>
      </c>
      <c r="AD104" s="19" t="s">
        <v>42</v>
      </c>
      <c r="AE104" s="19" t="s">
        <v>121</v>
      </c>
      <c r="AF104" s="19" t="str">
        <f t="shared" si="666"/>
        <v>0,92</v>
      </c>
      <c r="AG104" s="19">
        <f t="shared" si="667"/>
        <v>0.96</v>
      </c>
      <c r="AH104" s="19">
        <f t="shared" si="668"/>
        <v>0.97</v>
      </c>
      <c r="AI104" s="19">
        <f t="shared" si="669"/>
        <v>0.82499999999999996</v>
      </c>
      <c r="AJ104" s="19">
        <f t="shared" si="670"/>
        <v>0.78499999999999992</v>
      </c>
      <c r="AK104" s="19">
        <f t="shared" si="671"/>
        <v>0.90500000000000003</v>
      </c>
      <c r="AL104" s="19">
        <f t="shared" si="672"/>
        <v>0.91500000000000004</v>
      </c>
      <c r="AM104" s="19">
        <f t="shared" si="673"/>
        <v>0.77</v>
      </c>
      <c r="AN104" s="19">
        <f t="shared" si="674"/>
        <v>0.79</v>
      </c>
    </row>
    <row r="105" spans="2:40">
      <c r="B105" s="27">
        <f>0.5*(B104+B106)</f>
        <v>75</v>
      </c>
      <c r="C105" s="12"/>
      <c r="D105" s="12">
        <f t="shared" ref="D105" si="885">0.5*(D104+D106)</f>
        <v>0.76</v>
      </c>
      <c r="E105" s="12">
        <f t="shared" ref="E105" si="886">0.5*(E104+E106)</f>
        <v>0.73</v>
      </c>
      <c r="F105" s="12">
        <f t="shared" ref="F105" si="887">0.5*(F104+F106)</f>
        <v>0.62</v>
      </c>
      <c r="G105" s="12">
        <f t="shared" ref="G105" si="888">0.5*(G104+G106)</f>
        <v>0.81</v>
      </c>
      <c r="H105" s="12">
        <f t="shared" ref="H105" si="889">0.5*(H104+H106)</f>
        <v>1</v>
      </c>
      <c r="I105" s="12">
        <f t="shared" ref="I105" si="890">0.5*(I104+I106)</f>
        <v>1</v>
      </c>
      <c r="J105" s="12">
        <f t="shared" ref="J105" si="891">0.5*(J104+J106)</f>
        <v>1</v>
      </c>
      <c r="K105" s="12">
        <f t="shared" ref="K105" si="892">0.5*(K104+K106)</f>
        <v>0.90500000000000003</v>
      </c>
      <c r="L105" s="12">
        <f t="shared" ref="L105" si="893">0.5*(L104+L106)</f>
        <v>1</v>
      </c>
      <c r="M105" s="12">
        <f t="shared" ref="M105" si="894">0.5*(M104+M106)</f>
        <v>1</v>
      </c>
      <c r="N105" s="12">
        <f t="shared" ref="N105" si="895">0.5*(N104+N106)</f>
        <v>1</v>
      </c>
      <c r="O105" s="12">
        <f t="shared" ref="O105" si="896">0.5*(O104+O106)</f>
        <v>0.95250000000000001</v>
      </c>
      <c r="P105" s="12">
        <f t="shared" ref="P105" si="897">0.5*(P104+P106)</f>
        <v>0.83250000000000002</v>
      </c>
      <c r="Q105" s="12">
        <f t="shared" ref="Q105" si="898">0.5*(Q104+Q106)</f>
        <v>0.745</v>
      </c>
      <c r="R105" s="12">
        <f t="shared" ref="R105" si="899">0.5*(R104+R106)</f>
        <v>0.67500000000000004</v>
      </c>
      <c r="S105" s="12">
        <f t="shared" ref="S105" si="900">0.5*(S104+S106)</f>
        <v>0.71500000000000008</v>
      </c>
      <c r="T105" s="13">
        <f t="shared" ref="T105" si="901">0.5*(T104+T106)</f>
        <v>0.90500000000000003</v>
      </c>
      <c r="U105" s="28"/>
      <c r="V105" s="29">
        <f t="shared" ref="V105" si="902">0.5*(V104+V106)</f>
        <v>75</v>
      </c>
      <c r="W105" s="12"/>
      <c r="X105" s="12">
        <f t="shared" ref="X105" si="903">0.5*(X104+X106)</f>
        <v>0.86</v>
      </c>
      <c r="Y105" s="12">
        <f t="shared" ref="Y105" si="904">0.5*(Y104+Y106)</f>
        <v>0.95</v>
      </c>
      <c r="Z105" s="12">
        <f t="shared" ref="Z105" si="905">0.5*(Z104+Z106)</f>
        <v>0.88</v>
      </c>
      <c r="AA105" s="12">
        <f t="shared" ref="AA105" si="906">0.5*(AA104+AA106)</f>
        <v>0.66</v>
      </c>
      <c r="AB105" s="12">
        <f t="shared" ref="AB105" si="907">0.5*(AB104+AB106)</f>
        <v>0.92</v>
      </c>
      <c r="AC105" s="12">
        <f t="shared" ref="AC105" si="908">0.5*(AC104+AC106)</f>
        <v>1</v>
      </c>
      <c r="AD105" s="12">
        <f t="shared" ref="AD105" si="909">0.5*(AD104+AD106)</f>
        <v>0.94</v>
      </c>
      <c r="AE105" s="12">
        <f t="shared" ref="AE105" si="910">0.5*(AE104+AE106)</f>
        <v>0.71</v>
      </c>
      <c r="AF105" s="12">
        <f t="shared" ref="AF105" si="911">0.5*(AF104+AF106)</f>
        <v>0.92</v>
      </c>
      <c r="AG105" s="12">
        <f t="shared" ref="AG105" si="912">0.5*(AG104+AG106)</f>
        <v>0.96</v>
      </c>
      <c r="AH105" s="12">
        <f t="shared" ref="AH105" si="913">0.5*(AH104+AH106)</f>
        <v>0.97</v>
      </c>
      <c r="AI105" s="12">
        <f t="shared" ref="AI105" si="914">0.5*(AI104+AI106)</f>
        <v>0.82499999999999996</v>
      </c>
      <c r="AJ105" s="12">
        <f t="shared" ref="AJ105" si="915">0.5*(AJ104+AJ106)</f>
        <v>0.78499999999999992</v>
      </c>
      <c r="AK105" s="12">
        <f t="shared" ref="AK105" si="916">0.5*(AK104+AK106)</f>
        <v>0.90500000000000003</v>
      </c>
      <c r="AL105" s="12">
        <f t="shared" ref="AL105" si="917">0.5*(AL104+AL106)</f>
        <v>0.91500000000000004</v>
      </c>
      <c r="AM105" s="12">
        <f t="shared" ref="AM105" si="918">0.5*(AM104+AM106)</f>
        <v>0.77</v>
      </c>
      <c r="AN105" s="12">
        <f t="shared" ref="AN105" si="919">0.5*(AN104+AN106)</f>
        <v>0.79</v>
      </c>
    </row>
    <row r="106" spans="2:40">
      <c r="B106" s="25">
        <v>80</v>
      </c>
      <c r="C106" s="18" t="s">
        <v>34</v>
      </c>
      <c r="D106" s="19" t="s">
        <v>91</v>
      </c>
      <c r="E106" s="19" t="s">
        <v>52</v>
      </c>
      <c r="F106" s="19" t="s">
        <v>57</v>
      </c>
      <c r="G106" s="19" t="s">
        <v>60</v>
      </c>
      <c r="H106" s="19" t="s">
        <v>35</v>
      </c>
      <c r="I106" s="19" t="s">
        <v>35</v>
      </c>
      <c r="J106" s="19" t="s">
        <v>35</v>
      </c>
      <c r="K106" s="19" t="s">
        <v>44</v>
      </c>
      <c r="L106" s="19" t="str">
        <f t="shared" si="657"/>
        <v>1,00</v>
      </c>
      <c r="M106" s="19">
        <f t="shared" si="658"/>
        <v>1</v>
      </c>
      <c r="N106" s="19">
        <f t="shared" si="659"/>
        <v>1</v>
      </c>
      <c r="O106" s="19">
        <f t="shared" si="660"/>
        <v>0.95500000000000007</v>
      </c>
      <c r="P106" s="19">
        <f t="shared" si="661"/>
        <v>0.83499999999999996</v>
      </c>
      <c r="Q106" s="19">
        <f t="shared" si="662"/>
        <v>0.745</v>
      </c>
      <c r="R106" s="19">
        <f t="shared" si="663"/>
        <v>0.67500000000000004</v>
      </c>
      <c r="S106" s="19">
        <f t="shared" si="664"/>
        <v>0.71500000000000008</v>
      </c>
      <c r="T106" s="19">
        <f t="shared" si="665"/>
        <v>0.90500000000000003</v>
      </c>
      <c r="V106" s="26">
        <v>80</v>
      </c>
      <c r="W106" s="18" t="s">
        <v>36</v>
      </c>
      <c r="X106" s="19" t="s">
        <v>46</v>
      </c>
      <c r="Y106" s="19" t="s">
        <v>40</v>
      </c>
      <c r="Z106" s="19" t="s">
        <v>48</v>
      </c>
      <c r="AA106" s="19" t="s">
        <v>95</v>
      </c>
      <c r="AB106" s="19" t="s">
        <v>43</v>
      </c>
      <c r="AC106" s="19" t="s">
        <v>35</v>
      </c>
      <c r="AD106" s="19" t="s">
        <v>42</v>
      </c>
      <c r="AE106" s="19" t="s">
        <v>121</v>
      </c>
      <c r="AF106" s="19" t="str">
        <f t="shared" si="666"/>
        <v>0,92</v>
      </c>
      <c r="AG106" s="19">
        <f t="shared" si="667"/>
        <v>0.96</v>
      </c>
      <c r="AH106" s="19">
        <f t="shared" si="668"/>
        <v>0.97</v>
      </c>
      <c r="AI106" s="19">
        <f t="shared" si="669"/>
        <v>0.82499999999999996</v>
      </c>
      <c r="AJ106" s="19">
        <f t="shared" si="670"/>
        <v>0.78499999999999992</v>
      </c>
      <c r="AK106" s="19">
        <f t="shared" si="671"/>
        <v>0.90500000000000003</v>
      </c>
      <c r="AL106" s="19">
        <f t="shared" si="672"/>
        <v>0.91500000000000004</v>
      </c>
      <c r="AM106" s="19">
        <f t="shared" si="673"/>
        <v>0.77</v>
      </c>
      <c r="AN106" s="19">
        <f t="shared" si="674"/>
        <v>0.79</v>
      </c>
    </row>
    <row r="107" spans="2:40">
      <c r="B107" s="27">
        <f>0.5*(B106+B108)</f>
        <v>85</v>
      </c>
      <c r="C107" s="12"/>
      <c r="D107" s="12">
        <f t="shared" ref="D107" si="920">0.5*(D106+D108)</f>
        <v>0.76</v>
      </c>
      <c r="E107" s="12">
        <f t="shared" ref="E107" si="921">0.5*(E106+E108)</f>
        <v>0.73</v>
      </c>
      <c r="F107" s="12">
        <f t="shared" ref="F107" si="922">0.5*(F106+F108)</f>
        <v>0.62</v>
      </c>
      <c r="G107" s="12">
        <f t="shared" ref="G107" si="923">0.5*(G106+G108)</f>
        <v>0.81</v>
      </c>
      <c r="H107" s="12">
        <f t="shared" ref="H107" si="924">0.5*(H106+H108)</f>
        <v>1</v>
      </c>
      <c r="I107" s="12">
        <f t="shared" ref="I107" si="925">0.5*(I106+I108)</f>
        <v>1</v>
      </c>
      <c r="J107" s="12">
        <f t="shared" ref="J107" si="926">0.5*(J106+J108)</f>
        <v>1</v>
      </c>
      <c r="K107" s="12">
        <f t="shared" ref="K107" si="927">0.5*(K106+K108)</f>
        <v>0.91500000000000004</v>
      </c>
      <c r="L107" s="12">
        <f t="shared" ref="L107" si="928">0.5*(L106+L108)</f>
        <v>1</v>
      </c>
      <c r="M107" s="12">
        <f t="shared" ref="M107" si="929">0.5*(M106+M108)</f>
        <v>1</v>
      </c>
      <c r="N107" s="12">
        <f t="shared" ref="N107" si="930">0.5*(N106+N108)</f>
        <v>1</v>
      </c>
      <c r="O107" s="12">
        <f t="shared" ref="O107" si="931">0.5*(O106+O108)</f>
        <v>0.95750000000000002</v>
      </c>
      <c r="P107" s="12">
        <f t="shared" ref="P107" si="932">0.5*(P106+P108)</f>
        <v>0.83750000000000002</v>
      </c>
      <c r="Q107" s="12">
        <f t="shared" ref="Q107" si="933">0.5*(Q106+Q108)</f>
        <v>0.745</v>
      </c>
      <c r="R107" s="12">
        <f t="shared" ref="R107" si="934">0.5*(R106+R108)</f>
        <v>0.67500000000000004</v>
      </c>
      <c r="S107" s="12">
        <f t="shared" ref="S107" si="935">0.5*(S106+S108)</f>
        <v>0.71500000000000008</v>
      </c>
      <c r="T107" s="13">
        <f t="shared" ref="T107" si="936">0.5*(T106+T108)</f>
        <v>0.90500000000000003</v>
      </c>
      <c r="U107" s="28"/>
      <c r="V107" s="29">
        <f t="shared" ref="V107" si="937">0.5*(V106+V108)</f>
        <v>85</v>
      </c>
      <c r="W107" s="12"/>
      <c r="X107" s="12">
        <f t="shared" ref="X107" si="938">0.5*(X106+X108)</f>
        <v>0.86</v>
      </c>
      <c r="Y107" s="12">
        <f t="shared" ref="Y107" si="939">0.5*(Y106+Y108)</f>
        <v>0.95</v>
      </c>
      <c r="Z107" s="12">
        <f t="shared" ref="Z107" si="940">0.5*(Z106+Z108)</f>
        <v>0.88</v>
      </c>
      <c r="AA107" s="12">
        <f t="shared" ref="AA107" si="941">0.5*(AA106+AA108)</f>
        <v>0.66</v>
      </c>
      <c r="AB107" s="12">
        <f t="shared" ref="AB107" si="942">0.5*(AB106+AB108)</f>
        <v>0.92</v>
      </c>
      <c r="AC107" s="12">
        <f t="shared" ref="AC107" si="943">0.5*(AC106+AC108)</f>
        <v>1</v>
      </c>
      <c r="AD107" s="12">
        <f t="shared" ref="AD107" si="944">0.5*(AD106+AD108)</f>
        <v>0.94</v>
      </c>
      <c r="AE107" s="12">
        <f t="shared" ref="AE107" si="945">0.5*(AE106+AE108)</f>
        <v>0.71</v>
      </c>
      <c r="AF107" s="12">
        <f t="shared" ref="AF107" si="946">0.5*(AF106+AF108)</f>
        <v>0.92</v>
      </c>
      <c r="AG107" s="12">
        <f t="shared" ref="AG107" si="947">0.5*(AG106+AG108)</f>
        <v>0.96</v>
      </c>
      <c r="AH107" s="12">
        <f t="shared" ref="AH107" si="948">0.5*(AH106+AH108)</f>
        <v>0.97</v>
      </c>
      <c r="AI107" s="12">
        <f t="shared" ref="AI107" si="949">0.5*(AI106+AI108)</f>
        <v>0.82499999999999996</v>
      </c>
      <c r="AJ107" s="12">
        <f t="shared" ref="AJ107" si="950">0.5*(AJ106+AJ108)</f>
        <v>0.78499999999999992</v>
      </c>
      <c r="AK107" s="12">
        <f t="shared" ref="AK107" si="951">0.5*(AK106+AK108)</f>
        <v>0.90500000000000003</v>
      </c>
      <c r="AL107" s="12">
        <f t="shared" ref="AL107" si="952">0.5*(AL106+AL108)</f>
        <v>0.91500000000000004</v>
      </c>
      <c r="AM107" s="12">
        <f t="shared" ref="AM107" si="953">0.5*(AM106+AM108)</f>
        <v>0.77</v>
      </c>
      <c r="AN107" s="12">
        <f t="shared" ref="AN107" si="954">0.5*(AN106+AN108)</f>
        <v>0.79</v>
      </c>
    </row>
    <row r="108" spans="2:40">
      <c r="B108" s="25">
        <v>90</v>
      </c>
      <c r="C108" s="18" t="s">
        <v>34</v>
      </c>
      <c r="D108" s="19" t="s">
        <v>91</v>
      </c>
      <c r="E108" s="19" t="s">
        <v>52</v>
      </c>
      <c r="F108" s="19" t="s">
        <v>57</v>
      </c>
      <c r="G108" s="19" t="s">
        <v>60</v>
      </c>
      <c r="H108" s="19" t="s">
        <v>35</v>
      </c>
      <c r="I108" s="19" t="s">
        <v>35</v>
      </c>
      <c r="J108" s="19" t="s">
        <v>35</v>
      </c>
      <c r="K108" s="19" t="s">
        <v>43</v>
      </c>
      <c r="L108" s="19" t="str">
        <f t="shared" si="657"/>
        <v>1,00</v>
      </c>
      <c r="M108" s="19">
        <f t="shared" si="658"/>
        <v>1</v>
      </c>
      <c r="N108" s="19">
        <f t="shared" si="659"/>
        <v>1</v>
      </c>
      <c r="O108" s="19">
        <f t="shared" si="660"/>
        <v>0.96</v>
      </c>
      <c r="P108" s="19">
        <f t="shared" si="661"/>
        <v>0.84000000000000008</v>
      </c>
      <c r="Q108" s="19">
        <f t="shared" si="662"/>
        <v>0.745</v>
      </c>
      <c r="R108" s="19">
        <f t="shared" si="663"/>
        <v>0.67500000000000004</v>
      </c>
      <c r="S108" s="19">
        <f t="shared" si="664"/>
        <v>0.71500000000000008</v>
      </c>
      <c r="T108" s="19">
        <f>0.5*(G108+L108)</f>
        <v>0.90500000000000003</v>
      </c>
      <c r="V108" s="26">
        <v>90</v>
      </c>
      <c r="W108" s="18" t="s">
        <v>36</v>
      </c>
      <c r="X108" s="19" t="s">
        <v>46</v>
      </c>
      <c r="Y108" s="19" t="s">
        <v>40</v>
      </c>
      <c r="Z108" s="19" t="s">
        <v>48</v>
      </c>
      <c r="AA108" s="19" t="s">
        <v>95</v>
      </c>
      <c r="AB108" s="19" t="s">
        <v>43</v>
      </c>
      <c r="AC108" s="19" t="s">
        <v>35</v>
      </c>
      <c r="AD108" s="19" t="s">
        <v>42</v>
      </c>
      <c r="AE108" s="19" t="s">
        <v>121</v>
      </c>
      <c r="AF108" s="19" t="str">
        <f t="shared" si="666"/>
        <v>0,92</v>
      </c>
      <c r="AG108" s="19">
        <f t="shared" si="667"/>
        <v>0.96</v>
      </c>
      <c r="AH108" s="19">
        <f t="shared" si="668"/>
        <v>0.97</v>
      </c>
      <c r="AI108" s="19">
        <f t="shared" si="669"/>
        <v>0.82499999999999996</v>
      </c>
      <c r="AJ108" s="19">
        <f t="shared" si="670"/>
        <v>0.78499999999999992</v>
      </c>
      <c r="AK108" s="19">
        <f t="shared" si="671"/>
        <v>0.90500000000000003</v>
      </c>
      <c r="AL108" s="19">
        <f t="shared" si="672"/>
        <v>0.91500000000000004</v>
      </c>
      <c r="AM108" s="19">
        <f t="shared" si="673"/>
        <v>0.77</v>
      </c>
      <c r="AN108" s="19">
        <f t="shared" si="674"/>
        <v>0.79</v>
      </c>
    </row>
    <row r="111" spans="2:40">
      <c r="B111" s="980" t="s">
        <v>133</v>
      </c>
      <c r="C111" s="980"/>
      <c r="D111" s="980"/>
      <c r="E111" s="980"/>
      <c r="F111" s="980"/>
      <c r="G111" s="980"/>
      <c r="H111" s="980"/>
      <c r="I111" s="980"/>
      <c r="J111" s="980"/>
      <c r="K111" s="980"/>
      <c r="L111" s="23"/>
      <c r="M111" s="23"/>
      <c r="N111" s="23"/>
      <c r="O111" s="23"/>
      <c r="P111" s="23"/>
      <c r="Q111" s="23"/>
      <c r="R111" s="23"/>
      <c r="S111" s="23"/>
      <c r="T111" s="23"/>
      <c r="V111" s="980" t="s">
        <v>133</v>
      </c>
      <c r="W111" s="980"/>
      <c r="X111" s="980"/>
      <c r="Y111" s="980"/>
      <c r="Z111" s="980"/>
      <c r="AA111" s="980"/>
      <c r="AB111" s="980"/>
      <c r="AC111" s="980"/>
      <c r="AD111" s="980"/>
      <c r="AE111" s="980"/>
    </row>
    <row r="112" spans="2:40">
      <c r="B112" s="981" t="s">
        <v>120</v>
      </c>
      <c r="C112" s="981" t="s">
        <v>32</v>
      </c>
      <c r="D112" s="983" t="s">
        <v>33</v>
      </c>
      <c r="E112" s="984"/>
      <c r="F112" s="984"/>
      <c r="G112" s="984"/>
      <c r="H112" s="984"/>
      <c r="I112" s="984"/>
      <c r="J112" s="984"/>
      <c r="K112" s="985"/>
      <c r="L112" s="15"/>
      <c r="M112" s="15"/>
      <c r="N112" s="15"/>
      <c r="O112" s="15"/>
      <c r="P112" s="15"/>
      <c r="Q112" s="15"/>
      <c r="R112" s="15"/>
      <c r="S112" s="15"/>
      <c r="T112" s="15"/>
      <c r="V112" s="981" t="s">
        <v>120</v>
      </c>
      <c r="W112" s="981" t="s">
        <v>32</v>
      </c>
      <c r="X112" s="983" t="s">
        <v>33</v>
      </c>
      <c r="Y112" s="984"/>
      <c r="Z112" s="984"/>
      <c r="AA112" s="984"/>
      <c r="AB112" s="984"/>
      <c r="AC112" s="984"/>
      <c r="AD112" s="984"/>
      <c r="AE112" s="985"/>
    </row>
    <row r="113" spans="2:40">
      <c r="B113" s="982"/>
      <c r="C113" s="982"/>
      <c r="D113" s="24">
        <v>180</v>
      </c>
      <c r="E113" s="24">
        <v>225</v>
      </c>
      <c r="F113" s="24">
        <v>270</v>
      </c>
      <c r="G113" s="24">
        <v>315</v>
      </c>
      <c r="H113" s="24">
        <v>0</v>
      </c>
      <c r="I113" s="24">
        <v>45</v>
      </c>
      <c r="J113" s="24">
        <v>90</v>
      </c>
      <c r="K113" s="24">
        <v>135</v>
      </c>
      <c r="L113" s="15">
        <v>360</v>
      </c>
      <c r="M113" s="15">
        <f t="shared" ref="M113:O114" si="955">0.5*(H113+I113)</f>
        <v>22.5</v>
      </c>
      <c r="N113" s="15">
        <f t="shared" si="955"/>
        <v>67.5</v>
      </c>
      <c r="O113" s="15">
        <f t="shared" si="955"/>
        <v>112.5</v>
      </c>
      <c r="P113" s="15">
        <f>0.5*(K113+D113)</f>
        <v>157.5</v>
      </c>
      <c r="Q113" s="15">
        <f t="shared" ref="Q113:S114" si="956">0.5*(D113+E113)</f>
        <v>202.5</v>
      </c>
      <c r="R113" s="15">
        <f t="shared" si="956"/>
        <v>247.5</v>
      </c>
      <c r="S113" s="15">
        <f t="shared" si="956"/>
        <v>292.5</v>
      </c>
      <c r="T113" s="15">
        <f>0.5*(G113+L113)</f>
        <v>337.5</v>
      </c>
      <c r="V113" s="982"/>
      <c r="W113" s="982"/>
      <c r="X113" s="24">
        <v>180</v>
      </c>
      <c r="Y113" s="24">
        <v>225</v>
      </c>
      <c r="Z113" s="24">
        <v>270</v>
      </c>
      <c r="AA113" s="24">
        <v>315</v>
      </c>
      <c r="AB113" s="24">
        <v>0</v>
      </c>
      <c r="AC113" s="24">
        <v>45</v>
      </c>
      <c r="AD113" s="24">
        <v>90</v>
      </c>
      <c r="AE113" s="24">
        <v>135</v>
      </c>
      <c r="AF113" s="15">
        <v>360</v>
      </c>
      <c r="AG113" s="15">
        <f t="shared" ref="AG113:AI114" si="957">0.5*(AB113+AC113)</f>
        <v>22.5</v>
      </c>
      <c r="AH113" s="15">
        <f t="shared" si="957"/>
        <v>67.5</v>
      </c>
      <c r="AI113" s="15">
        <f t="shared" si="957"/>
        <v>112.5</v>
      </c>
      <c r="AJ113" s="15">
        <f>0.5*(AE113+X113)</f>
        <v>157.5</v>
      </c>
      <c r="AK113" s="15">
        <f t="shared" ref="AK113:AM114" si="958">0.5*(X113+Y113)</f>
        <v>202.5</v>
      </c>
      <c r="AL113" s="15">
        <f t="shared" si="958"/>
        <v>247.5</v>
      </c>
      <c r="AM113" s="15">
        <f t="shared" si="958"/>
        <v>292.5</v>
      </c>
      <c r="AN113" s="15">
        <f>0.5*(AA113+AF113)</f>
        <v>337.5</v>
      </c>
    </row>
    <row r="114" spans="2:40">
      <c r="B114" s="25">
        <v>0</v>
      </c>
      <c r="C114" s="18" t="s">
        <v>34</v>
      </c>
      <c r="D114" s="19" t="s">
        <v>35</v>
      </c>
      <c r="E114" s="19" t="s">
        <v>35</v>
      </c>
      <c r="F114" s="19" t="s">
        <v>35</v>
      </c>
      <c r="G114" s="19" t="s">
        <v>35</v>
      </c>
      <c r="H114" s="19" t="s">
        <v>35</v>
      </c>
      <c r="I114" s="19" t="s">
        <v>35</v>
      </c>
      <c r="J114" s="19" t="s">
        <v>35</v>
      </c>
      <c r="K114" s="19" t="s">
        <v>35</v>
      </c>
      <c r="L114" s="19" t="str">
        <f>H114</f>
        <v>1,00</v>
      </c>
      <c r="M114" s="19">
        <f t="shared" si="955"/>
        <v>1</v>
      </c>
      <c r="N114" s="19">
        <f t="shared" si="955"/>
        <v>1</v>
      </c>
      <c r="O114" s="19">
        <f t="shared" si="955"/>
        <v>1</v>
      </c>
      <c r="P114" s="19">
        <f>0.5*(K114+D114)</f>
        <v>1</v>
      </c>
      <c r="Q114" s="19">
        <f t="shared" si="956"/>
        <v>1</v>
      </c>
      <c r="R114" s="19">
        <f t="shared" si="956"/>
        <v>1</v>
      </c>
      <c r="S114" s="19">
        <f t="shared" si="956"/>
        <v>1</v>
      </c>
      <c r="T114" s="19">
        <f>0.5*(G114+L114)</f>
        <v>1</v>
      </c>
      <c r="V114" s="26">
        <v>0</v>
      </c>
      <c r="W114" s="18" t="s">
        <v>36</v>
      </c>
      <c r="X114" s="19">
        <v>1</v>
      </c>
      <c r="Y114" s="19" t="s">
        <v>35</v>
      </c>
      <c r="Z114" s="19" t="s">
        <v>35</v>
      </c>
      <c r="AA114" s="19" t="s">
        <v>35</v>
      </c>
      <c r="AB114" s="19" t="s">
        <v>35</v>
      </c>
      <c r="AC114" s="19" t="s">
        <v>35</v>
      </c>
      <c r="AD114" s="19" t="s">
        <v>35</v>
      </c>
      <c r="AE114" s="19" t="s">
        <v>35</v>
      </c>
      <c r="AF114" s="19" t="str">
        <f>AB114</f>
        <v>1,00</v>
      </c>
      <c r="AG114" s="19">
        <f t="shared" si="957"/>
        <v>1</v>
      </c>
      <c r="AH114" s="19">
        <f t="shared" si="957"/>
        <v>1</v>
      </c>
      <c r="AI114" s="19">
        <f t="shared" si="957"/>
        <v>1</v>
      </c>
      <c r="AJ114" s="19">
        <f>0.5*(AE114+X114)</f>
        <v>1</v>
      </c>
      <c r="AK114" s="19">
        <f t="shared" si="958"/>
        <v>1</v>
      </c>
      <c r="AL114" s="19">
        <f t="shared" si="958"/>
        <v>1</v>
      </c>
      <c r="AM114" s="19">
        <f t="shared" si="958"/>
        <v>1</v>
      </c>
      <c r="AN114" s="19">
        <f>0.5*(AA114+AF114)</f>
        <v>1</v>
      </c>
    </row>
    <row r="115" spans="2:40">
      <c r="B115" s="27">
        <f>0.5*(B114+B116)</f>
        <v>5</v>
      </c>
      <c r="C115" s="12"/>
      <c r="D115" s="12">
        <f t="shared" ref="D115" si="959">0.5*(D114+D116)</f>
        <v>0.98499999999999999</v>
      </c>
      <c r="E115" s="12">
        <f t="shared" ref="E115" si="960">0.5*(E114+E116)</f>
        <v>0.995</v>
      </c>
      <c r="F115" s="12">
        <f t="shared" ref="F115" si="961">0.5*(F114+F116)</f>
        <v>1</v>
      </c>
      <c r="G115" s="12">
        <f t="shared" ref="G115" si="962">0.5*(G114+G116)</f>
        <v>1</v>
      </c>
      <c r="H115" s="12">
        <f t="shared" ref="H115" si="963">0.5*(H114+H116)</f>
        <v>1</v>
      </c>
      <c r="I115" s="12">
        <f t="shared" ref="I115" si="964">0.5*(I114+I116)</f>
        <v>0.97499999999999998</v>
      </c>
      <c r="J115" s="12">
        <f t="shared" ref="J115" si="965">0.5*(J114+J116)</f>
        <v>0.97499999999999998</v>
      </c>
      <c r="K115" s="12">
        <f t="shared" ref="K115" si="966">0.5*(K114+K116)</f>
        <v>0.98499999999999999</v>
      </c>
      <c r="L115" s="12">
        <f t="shared" ref="L115" si="967">0.5*(L114+L116)</f>
        <v>1</v>
      </c>
      <c r="M115" s="12">
        <f t="shared" ref="M115" si="968">0.5*(M114+M116)</f>
        <v>0.98750000000000004</v>
      </c>
      <c r="N115" s="12">
        <f t="shared" ref="N115" si="969">0.5*(N114+N116)</f>
        <v>0.97499999999999998</v>
      </c>
      <c r="O115" s="12">
        <f t="shared" ref="O115" si="970">0.5*(O114+O116)</f>
        <v>0.98</v>
      </c>
      <c r="P115" s="12">
        <f t="shared" ref="P115" si="971">0.5*(P114+P116)</f>
        <v>0.98499999999999999</v>
      </c>
      <c r="Q115" s="12">
        <f t="shared" ref="Q115" si="972">0.5*(Q114+Q116)</f>
        <v>0.99</v>
      </c>
      <c r="R115" s="12">
        <f t="shared" ref="R115" si="973">0.5*(R114+R116)</f>
        <v>0.99750000000000005</v>
      </c>
      <c r="S115" s="12">
        <f t="shared" ref="S115" si="974">0.5*(S114+S116)</f>
        <v>1</v>
      </c>
      <c r="T115" s="13">
        <f t="shared" ref="T115" si="975">0.5*(T114+T116)</f>
        <v>1</v>
      </c>
      <c r="U115" s="28"/>
      <c r="V115" s="29">
        <f t="shared" ref="V115" si="976">0.5*(V114+V116)</f>
        <v>5</v>
      </c>
      <c r="W115" s="12"/>
      <c r="X115" s="12">
        <f t="shared" ref="X115" si="977">0.5*(X114+X116)</f>
        <v>0.98499999999999999</v>
      </c>
      <c r="Y115" s="12">
        <f t="shared" ref="Y115" si="978">0.5*(Y114+Y116)</f>
        <v>0.98499999999999999</v>
      </c>
      <c r="Z115" s="12">
        <f t="shared" ref="Z115" si="979">0.5*(Z114+Z116)</f>
        <v>1</v>
      </c>
      <c r="AA115" s="12">
        <f t="shared" ref="AA115" si="980">0.5*(AA114+AA116)</f>
        <v>1</v>
      </c>
      <c r="AB115" s="12">
        <f t="shared" ref="AB115" si="981">0.5*(AB114+AB116)</f>
        <v>0.98499999999999999</v>
      </c>
      <c r="AC115" s="12">
        <f t="shared" ref="AC115" si="982">0.5*(AC114+AC116)</f>
        <v>0.98</v>
      </c>
      <c r="AD115" s="12">
        <f t="shared" ref="AD115" si="983">0.5*(AD114+AD116)</f>
        <v>0.995</v>
      </c>
      <c r="AE115" s="12">
        <f t="shared" ref="AE115" si="984">0.5*(AE114+AE116)</f>
        <v>0.995</v>
      </c>
      <c r="AF115" s="12">
        <f t="shared" ref="AF115" si="985">0.5*(AF114+AF116)</f>
        <v>0.98499999999999999</v>
      </c>
      <c r="AG115" s="12">
        <f t="shared" ref="AG115" si="986">0.5*(AG114+AG116)</f>
        <v>0.98249999999999993</v>
      </c>
      <c r="AH115" s="12">
        <f t="shared" ref="AH115" si="987">0.5*(AH114+AH116)</f>
        <v>0.98750000000000004</v>
      </c>
      <c r="AI115" s="12">
        <f t="shared" ref="AI115" si="988">0.5*(AI114+AI116)</f>
        <v>0.995</v>
      </c>
      <c r="AJ115" s="12">
        <f t="shared" ref="AJ115" si="989">0.5*(AJ114+AJ116)</f>
        <v>0.99</v>
      </c>
      <c r="AK115" s="12">
        <f t="shared" ref="AK115" si="990">0.5*(AK114+AK116)</f>
        <v>0.98499999999999999</v>
      </c>
      <c r="AL115" s="12">
        <f t="shared" ref="AL115" si="991">0.5*(AL114+AL116)</f>
        <v>0.99249999999999994</v>
      </c>
      <c r="AM115" s="12">
        <f t="shared" ref="AM115" si="992">0.5*(AM114+AM116)</f>
        <v>1</v>
      </c>
      <c r="AN115" s="12">
        <f t="shared" ref="AN115" si="993">0.5*(AN114+AN116)</f>
        <v>0.99249999999999994</v>
      </c>
    </row>
    <row r="116" spans="2:40">
      <c r="B116" s="25">
        <v>10</v>
      </c>
      <c r="C116" s="18" t="s">
        <v>34</v>
      </c>
      <c r="D116" s="19" t="s">
        <v>38</v>
      </c>
      <c r="E116" s="19" t="s">
        <v>63</v>
      </c>
      <c r="F116" s="19" t="s">
        <v>35</v>
      </c>
      <c r="G116" s="19" t="s">
        <v>35</v>
      </c>
      <c r="H116" s="19" t="s">
        <v>35</v>
      </c>
      <c r="I116" s="19" t="s">
        <v>40</v>
      </c>
      <c r="J116" s="19" t="s">
        <v>40</v>
      </c>
      <c r="K116" s="19" t="s">
        <v>38</v>
      </c>
      <c r="L116" s="19" t="str">
        <f t="shared" ref="L116:L132" si="994">H116</f>
        <v>1,00</v>
      </c>
      <c r="M116" s="19">
        <f t="shared" ref="M116:M132" si="995">0.5*(H116+I116)</f>
        <v>0.97499999999999998</v>
      </c>
      <c r="N116" s="19">
        <f t="shared" ref="N116:N132" si="996">0.5*(I116+J116)</f>
        <v>0.95</v>
      </c>
      <c r="O116" s="19">
        <f t="shared" ref="O116:O132" si="997">0.5*(J116+K116)</f>
        <v>0.96</v>
      </c>
      <c r="P116" s="19">
        <f t="shared" ref="P116:P132" si="998">0.5*(K116+D116)</f>
        <v>0.97</v>
      </c>
      <c r="Q116" s="19">
        <f t="shared" ref="Q116:Q132" si="999">0.5*(D116+E116)</f>
        <v>0.98</v>
      </c>
      <c r="R116" s="19">
        <f t="shared" ref="R116:R132" si="1000">0.5*(E116+F116)</f>
        <v>0.995</v>
      </c>
      <c r="S116" s="19">
        <f t="shared" ref="S116:S132" si="1001">0.5*(F116+G116)</f>
        <v>1</v>
      </c>
      <c r="T116" s="19">
        <f t="shared" ref="T116:T132" si="1002">0.5*(G116+L116)</f>
        <v>1</v>
      </c>
      <c r="V116" s="26">
        <v>10</v>
      </c>
      <c r="W116" s="18" t="s">
        <v>36</v>
      </c>
      <c r="X116" s="19" t="s">
        <v>38</v>
      </c>
      <c r="Y116" s="19" t="s">
        <v>38</v>
      </c>
      <c r="Z116" s="19" t="s">
        <v>35</v>
      </c>
      <c r="AA116" s="19" t="s">
        <v>35</v>
      </c>
      <c r="AB116" s="19" t="s">
        <v>38</v>
      </c>
      <c r="AC116" s="19" t="s">
        <v>39</v>
      </c>
      <c r="AD116" s="19" t="s">
        <v>63</v>
      </c>
      <c r="AE116" s="19" t="s">
        <v>63</v>
      </c>
      <c r="AF116" s="19" t="str">
        <f t="shared" ref="AF116:AF132" si="1003">AB116</f>
        <v>0,97</v>
      </c>
      <c r="AG116" s="19">
        <f t="shared" ref="AG116:AG132" si="1004">0.5*(AB116+AC116)</f>
        <v>0.96499999999999997</v>
      </c>
      <c r="AH116" s="19">
        <f t="shared" ref="AH116:AH132" si="1005">0.5*(AC116+AD116)</f>
        <v>0.97499999999999998</v>
      </c>
      <c r="AI116" s="19">
        <f t="shared" ref="AI116:AI132" si="1006">0.5*(AD116+AE116)</f>
        <v>0.99</v>
      </c>
      <c r="AJ116" s="19">
        <f t="shared" ref="AJ116:AJ132" si="1007">0.5*(AE116+X116)</f>
        <v>0.98</v>
      </c>
      <c r="AK116" s="19">
        <f t="shared" ref="AK116:AK132" si="1008">0.5*(X116+Y116)</f>
        <v>0.97</v>
      </c>
      <c r="AL116" s="19">
        <f t="shared" ref="AL116:AL132" si="1009">0.5*(Y116+Z116)</f>
        <v>0.98499999999999999</v>
      </c>
      <c r="AM116" s="19">
        <f t="shared" ref="AM116:AM132" si="1010">0.5*(Z116+AA116)</f>
        <v>1</v>
      </c>
      <c r="AN116" s="19">
        <f t="shared" ref="AN116:AN132" si="1011">0.5*(AA116+AF116)</f>
        <v>0.98499999999999999</v>
      </c>
    </row>
    <row r="117" spans="2:40">
      <c r="B117" s="27">
        <f>0.5*(B116+B118)</f>
        <v>15</v>
      </c>
      <c r="C117" s="12"/>
      <c r="D117" s="12">
        <f t="shared" ref="D117" si="1012">0.5*(D116+D118)</f>
        <v>0.96</v>
      </c>
      <c r="E117" s="12">
        <f t="shared" ref="E117" si="1013">0.5*(E116+E118)</f>
        <v>0.99</v>
      </c>
      <c r="F117" s="12">
        <f t="shared" ref="F117" si="1014">0.5*(F116+F118)</f>
        <v>1</v>
      </c>
      <c r="G117" s="12">
        <f t="shared" ref="G117" si="1015">0.5*(G116+G118)</f>
        <v>1</v>
      </c>
      <c r="H117" s="12">
        <f t="shared" ref="H117" si="1016">0.5*(H116+H118)</f>
        <v>1</v>
      </c>
      <c r="I117" s="12">
        <f t="shared" ref="I117" si="1017">0.5*(I116+I118)</f>
        <v>0.93500000000000005</v>
      </c>
      <c r="J117" s="12">
        <f t="shared" ref="J117" si="1018">0.5*(J116+J118)</f>
        <v>0.92500000000000004</v>
      </c>
      <c r="K117" s="12">
        <f t="shared" ref="K117" si="1019">0.5*(K116+K118)</f>
        <v>0.95</v>
      </c>
      <c r="L117" s="12">
        <f t="shared" ref="L117" si="1020">0.5*(L116+L118)</f>
        <v>1</v>
      </c>
      <c r="M117" s="12">
        <f t="shared" ref="M117" si="1021">0.5*(M116+M118)</f>
        <v>0.96750000000000003</v>
      </c>
      <c r="N117" s="12">
        <f t="shared" ref="N117" si="1022">0.5*(N116+N118)</f>
        <v>0.92999999999999994</v>
      </c>
      <c r="O117" s="12">
        <f t="shared" ref="O117" si="1023">0.5*(O116+O118)</f>
        <v>0.9375</v>
      </c>
      <c r="P117" s="12">
        <f t="shared" ref="P117" si="1024">0.5*(P116+P118)</f>
        <v>0.95499999999999996</v>
      </c>
      <c r="Q117" s="12">
        <f t="shared" ref="Q117" si="1025">0.5*(Q116+Q118)</f>
        <v>0.97499999999999998</v>
      </c>
      <c r="R117" s="12">
        <f t="shared" ref="R117" si="1026">0.5*(R116+R118)</f>
        <v>0.995</v>
      </c>
      <c r="S117" s="12">
        <f t="shared" ref="S117" si="1027">0.5*(S116+S118)</f>
        <v>1</v>
      </c>
      <c r="T117" s="13">
        <f t="shared" ref="T117" si="1028">0.5*(T116+T118)</f>
        <v>1</v>
      </c>
      <c r="U117" s="28"/>
      <c r="V117" s="29">
        <f t="shared" ref="V117" si="1029">0.5*(V116+V118)</f>
        <v>15</v>
      </c>
      <c r="W117" s="12"/>
      <c r="X117" s="12">
        <f t="shared" ref="X117" si="1030">0.5*(X116+X118)</f>
        <v>0.96</v>
      </c>
      <c r="Y117" s="12">
        <f t="shared" ref="Y117" si="1031">0.5*(Y116+Y118)</f>
        <v>0.95499999999999996</v>
      </c>
      <c r="Z117" s="12">
        <f t="shared" ref="Z117" si="1032">0.5*(Z116+Z118)</f>
        <v>0.995</v>
      </c>
      <c r="AA117" s="12">
        <f t="shared" ref="AA117" si="1033">0.5*(AA116+AA118)</f>
        <v>1</v>
      </c>
      <c r="AB117" s="12">
        <f t="shared" ref="AB117" si="1034">0.5*(AB116+AB118)</f>
        <v>0.96</v>
      </c>
      <c r="AC117" s="12">
        <f t="shared" ref="AC117" si="1035">0.5*(AC116+AC118)</f>
        <v>0.94500000000000006</v>
      </c>
      <c r="AD117" s="12">
        <f t="shared" ref="AD117" si="1036">0.5*(AD116+AD118)</f>
        <v>0.98499999999999999</v>
      </c>
      <c r="AE117" s="12">
        <f t="shared" ref="AE117" si="1037">0.5*(AE116+AE118)</f>
        <v>0.99</v>
      </c>
      <c r="AF117" s="12">
        <f t="shared" ref="AF117" si="1038">0.5*(AF116+AF118)</f>
        <v>0.96</v>
      </c>
      <c r="AG117" s="12">
        <f t="shared" ref="AG117" si="1039">0.5*(AG116+AG118)</f>
        <v>0.9524999999999999</v>
      </c>
      <c r="AH117" s="12">
        <f t="shared" ref="AH117" si="1040">0.5*(AH116+AH118)</f>
        <v>0.96500000000000008</v>
      </c>
      <c r="AI117" s="12">
        <f t="shared" ref="AI117" si="1041">0.5*(AI116+AI118)</f>
        <v>0.98750000000000004</v>
      </c>
      <c r="AJ117" s="12">
        <f t="shared" ref="AJ117" si="1042">0.5*(AJ116+AJ118)</f>
        <v>0.97499999999999998</v>
      </c>
      <c r="AK117" s="12">
        <f t="shared" ref="AK117" si="1043">0.5*(AK116+AK118)</f>
        <v>0.95750000000000002</v>
      </c>
      <c r="AL117" s="12">
        <f t="shared" ref="AL117" si="1044">0.5*(AL116+AL118)</f>
        <v>0.97499999999999998</v>
      </c>
      <c r="AM117" s="12">
        <f t="shared" ref="AM117" si="1045">0.5*(AM116+AM118)</f>
        <v>0.99750000000000005</v>
      </c>
      <c r="AN117" s="12">
        <f t="shared" ref="AN117" si="1046">0.5*(AN116+AN118)</f>
        <v>0.98</v>
      </c>
    </row>
    <row r="118" spans="2:40">
      <c r="B118" s="25">
        <v>20</v>
      </c>
      <c r="C118" s="18" t="s">
        <v>34</v>
      </c>
      <c r="D118" s="19" t="s">
        <v>40</v>
      </c>
      <c r="E118" s="19" t="s">
        <v>63</v>
      </c>
      <c r="F118" s="19" t="s">
        <v>35</v>
      </c>
      <c r="G118" s="19" t="s">
        <v>35</v>
      </c>
      <c r="H118" s="19" t="s">
        <v>35</v>
      </c>
      <c r="I118" s="19" t="s">
        <v>43</v>
      </c>
      <c r="J118" s="19" t="s">
        <v>47</v>
      </c>
      <c r="K118" s="19" t="s">
        <v>41</v>
      </c>
      <c r="L118" s="19" t="str">
        <f t="shared" si="994"/>
        <v>1,00</v>
      </c>
      <c r="M118" s="19">
        <f t="shared" si="995"/>
        <v>0.96</v>
      </c>
      <c r="N118" s="19">
        <f t="shared" si="996"/>
        <v>0.91</v>
      </c>
      <c r="O118" s="19">
        <f t="shared" si="997"/>
        <v>0.91500000000000004</v>
      </c>
      <c r="P118" s="19">
        <f t="shared" si="998"/>
        <v>0.94</v>
      </c>
      <c r="Q118" s="19">
        <f t="shared" si="999"/>
        <v>0.97</v>
      </c>
      <c r="R118" s="19">
        <f t="shared" si="1000"/>
        <v>0.995</v>
      </c>
      <c r="S118" s="19">
        <f t="shared" si="1001"/>
        <v>1</v>
      </c>
      <c r="T118" s="19">
        <f t="shared" si="1002"/>
        <v>1</v>
      </c>
      <c r="V118" s="26">
        <v>20</v>
      </c>
      <c r="W118" s="18" t="s">
        <v>36</v>
      </c>
      <c r="X118" s="19" t="s">
        <v>40</v>
      </c>
      <c r="Y118" s="19" t="s">
        <v>42</v>
      </c>
      <c r="Z118" s="19" t="s">
        <v>63</v>
      </c>
      <c r="AA118" s="19" t="s">
        <v>35</v>
      </c>
      <c r="AB118" s="19" t="s">
        <v>40</v>
      </c>
      <c r="AC118" s="19" t="s">
        <v>41</v>
      </c>
      <c r="AD118" s="19" t="s">
        <v>37</v>
      </c>
      <c r="AE118" s="19" t="s">
        <v>63</v>
      </c>
      <c r="AF118" s="19" t="str">
        <f t="shared" si="1003"/>
        <v>0,95</v>
      </c>
      <c r="AG118" s="19">
        <f t="shared" si="1004"/>
        <v>0.94</v>
      </c>
      <c r="AH118" s="19">
        <f t="shared" si="1005"/>
        <v>0.95500000000000007</v>
      </c>
      <c r="AI118" s="19">
        <f t="shared" si="1006"/>
        <v>0.98499999999999999</v>
      </c>
      <c r="AJ118" s="19">
        <f t="shared" si="1007"/>
        <v>0.97</v>
      </c>
      <c r="AK118" s="19">
        <f t="shared" si="1008"/>
        <v>0.94499999999999995</v>
      </c>
      <c r="AL118" s="19">
        <f t="shared" si="1009"/>
        <v>0.96499999999999997</v>
      </c>
      <c r="AM118" s="19">
        <f t="shared" si="1010"/>
        <v>0.995</v>
      </c>
      <c r="AN118" s="19">
        <f t="shared" si="1011"/>
        <v>0.97499999999999998</v>
      </c>
    </row>
    <row r="119" spans="2:40">
      <c r="B119" s="27">
        <f>0.5*(B118+B120)</f>
        <v>25</v>
      </c>
      <c r="C119" s="12"/>
      <c r="D119" s="12">
        <f t="shared" ref="D119" si="1047">0.5*(D118+D120)</f>
        <v>0.93500000000000005</v>
      </c>
      <c r="E119" s="12">
        <f t="shared" ref="E119" si="1048">0.5*(E118+E120)</f>
        <v>0.98499999999999999</v>
      </c>
      <c r="F119" s="12">
        <f t="shared" ref="F119" si="1049">0.5*(F118+F120)</f>
        <v>1</v>
      </c>
      <c r="G119" s="12">
        <f t="shared" ref="G119" si="1050">0.5*(G118+G120)</f>
        <v>1</v>
      </c>
      <c r="H119" s="12">
        <f t="shared" ref="H119" si="1051">0.5*(H118+H120)</f>
        <v>1</v>
      </c>
      <c r="I119" s="12">
        <f t="shared" ref="I119" si="1052">0.5*(I118+I120)</f>
        <v>0.90500000000000003</v>
      </c>
      <c r="J119" s="12">
        <f t="shared" ref="J119" si="1053">0.5*(J118+J120)</f>
        <v>0.88</v>
      </c>
      <c r="K119" s="12">
        <f t="shared" ref="K119" si="1054">0.5*(K118+K120)</f>
        <v>0.91500000000000004</v>
      </c>
      <c r="L119" s="12">
        <f t="shared" ref="L119" si="1055">0.5*(L118+L120)</f>
        <v>1</v>
      </c>
      <c r="M119" s="12">
        <f t="shared" ref="M119" si="1056">0.5*(M118+M120)</f>
        <v>0.95250000000000001</v>
      </c>
      <c r="N119" s="12">
        <f t="shared" ref="N119" si="1057">0.5*(N118+N120)</f>
        <v>0.89250000000000007</v>
      </c>
      <c r="O119" s="12">
        <f t="shared" ref="O119" si="1058">0.5*(O118+O120)</f>
        <v>0.89749999999999996</v>
      </c>
      <c r="P119" s="12">
        <f t="shared" ref="P119" si="1059">0.5*(P118+P120)</f>
        <v>0.92500000000000004</v>
      </c>
      <c r="Q119" s="12">
        <f t="shared" ref="Q119" si="1060">0.5*(Q118+Q120)</f>
        <v>0.96</v>
      </c>
      <c r="R119" s="12">
        <f t="shared" ref="R119" si="1061">0.5*(R118+R120)</f>
        <v>0.99249999999999994</v>
      </c>
      <c r="S119" s="12">
        <f t="shared" ref="S119" si="1062">0.5*(S118+S120)</f>
        <v>1</v>
      </c>
      <c r="T119" s="13">
        <f t="shared" ref="T119" si="1063">0.5*(T118+T120)</f>
        <v>1</v>
      </c>
      <c r="U119" s="28"/>
      <c r="V119" s="29">
        <f t="shared" ref="V119" si="1064">0.5*(V118+V120)</f>
        <v>25</v>
      </c>
      <c r="W119" s="12"/>
      <c r="X119" s="12">
        <f t="shared" ref="X119" si="1065">0.5*(X118+X120)</f>
        <v>0.94</v>
      </c>
      <c r="Y119" s="12">
        <f t="shared" ref="Y119" si="1066">0.5*(Y118+Y120)</f>
        <v>0.91999999999999993</v>
      </c>
      <c r="Z119" s="12">
        <f t="shared" ref="Z119" si="1067">0.5*(Z118+Z120)</f>
        <v>0.99</v>
      </c>
      <c r="AA119" s="12">
        <f t="shared" ref="AA119" si="1068">0.5*(AA118+AA120)</f>
        <v>1</v>
      </c>
      <c r="AB119" s="12">
        <f t="shared" ref="AB119" si="1069">0.5*(AB118+AB120)</f>
        <v>0.94</v>
      </c>
      <c r="AC119" s="12">
        <f t="shared" ref="AC119" si="1070">0.5*(AC118+AC120)</f>
        <v>0.91</v>
      </c>
      <c r="AD119" s="12">
        <f t="shared" ref="AD119" si="1071">0.5*(AD118+AD120)</f>
        <v>0.97</v>
      </c>
      <c r="AE119" s="12">
        <f t="shared" ref="AE119" si="1072">0.5*(AE118+AE120)</f>
        <v>0.98499999999999999</v>
      </c>
      <c r="AF119" s="12">
        <f t="shared" ref="AF119" si="1073">0.5*(AF118+AF120)</f>
        <v>0.94</v>
      </c>
      <c r="AG119" s="12">
        <f t="shared" ref="AG119" si="1074">0.5*(AG118+AG120)</f>
        <v>0.92500000000000004</v>
      </c>
      <c r="AH119" s="12">
        <f t="shared" ref="AH119" si="1075">0.5*(AH118+AH120)</f>
        <v>0.94000000000000006</v>
      </c>
      <c r="AI119" s="12">
        <f t="shared" ref="AI119" si="1076">0.5*(AI118+AI120)</f>
        <v>0.97750000000000004</v>
      </c>
      <c r="AJ119" s="12">
        <f t="shared" ref="AJ119" si="1077">0.5*(AJ118+AJ120)</f>
        <v>0.96250000000000002</v>
      </c>
      <c r="AK119" s="12">
        <f t="shared" ref="AK119" si="1078">0.5*(AK118+AK120)</f>
        <v>0.92999999999999994</v>
      </c>
      <c r="AL119" s="12">
        <f t="shared" ref="AL119" si="1079">0.5*(AL118+AL120)</f>
        <v>0.95500000000000007</v>
      </c>
      <c r="AM119" s="12">
        <f t="shared" ref="AM119" si="1080">0.5*(AM118+AM120)</f>
        <v>0.995</v>
      </c>
      <c r="AN119" s="12">
        <f t="shared" ref="AN119" si="1081">0.5*(AN118+AN120)</f>
        <v>0.97</v>
      </c>
    </row>
    <row r="120" spans="2:40">
      <c r="B120" s="25">
        <v>30</v>
      </c>
      <c r="C120" s="18" t="s">
        <v>34</v>
      </c>
      <c r="D120" s="19" t="s">
        <v>43</v>
      </c>
      <c r="E120" s="19" t="s">
        <v>37</v>
      </c>
      <c r="F120" s="19" t="s">
        <v>35</v>
      </c>
      <c r="G120" s="19" t="s">
        <v>35</v>
      </c>
      <c r="H120" s="19" t="s">
        <v>35</v>
      </c>
      <c r="I120" s="19" t="s">
        <v>45</v>
      </c>
      <c r="J120" s="19" t="s">
        <v>46</v>
      </c>
      <c r="K120" s="19" t="s">
        <v>47</v>
      </c>
      <c r="L120" s="19" t="str">
        <f t="shared" si="994"/>
        <v>1,00</v>
      </c>
      <c r="M120" s="19">
        <f t="shared" si="995"/>
        <v>0.94500000000000006</v>
      </c>
      <c r="N120" s="19">
        <f t="shared" si="996"/>
        <v>0.875</v>
      </c>
      <c r="O120" s="19">
        <f t="shared" si="997"/>
        <v>0.88</v>
      </c>
      <c r="P120" s="19">
        <f t="shared" si="998"/>
        <v>0.91</v>
      </c>
      <c r="Q120" s="19">
        <f t="shared" si="999"/>
        <v>0.95</v>
      </c>
      <c r="R120" s="19">
        <f t="shared" si="1000"/>
        <v>0.99</v>
      </c>
      <c r="S120" s="19">
        <f t="shared" si="1001"/>
        <v>1</v>
      </c>
      <c r="T120" s="19">
        <f t="shared" si="1002"/>
        <v>1</v>
      </c>
      <c r="V120" s="26">
        <v>30</v>
      </c>
      <c r="W120" s="18" t="s">
        <v>36</v>
      </c>
      <c r="X120" s="19" t="s">
        <v>41</v>
      </c>
      <c r="Y120" s="19" t="s">
        <v>47</v>
      </c>
      <c r="Z120" s="19" t="s">
        <v>63</v>
      </c>
      <c r="AA120" s="19" t="s">
        <v>35</v>
      </c>
      <c r="AB120" s="19" t="s">
        <v>41</v>
      </c>
      <c r="AC120" s="19" t="s">
        <v>45</v>
      </c>
      <c r="AD120" s="19" t="s">
        <v>39</v>
      </c>
      <c r="AE120" s="19" t="s">
        <v>37</v>
      </c>
      <c r="AF120" s="19" t="str">
        <f t="shared" si="1003"/>
        <v>0,93</v>
      </c>
      <c r="AG120" s="19">
        <f t="shared" si="1004"/>
        <v>0.91</v>
      </c>
      <c r="AH120" s="19">
        <f t="shared" si="1005"/>
        <v>0.92500000000000004</v>
      </c>
      <c r="AI120" s="19">
        <f t="shared" si="1006"/>
        <v>0.97</v>
      </c>
      <c r="AJ120" s="19">
        <f t="shared" si="1007"/>
        <v>0.95500000000000007</v>
      </c>
      <c r="AK120" s="19">
        <f t="shared" si="1008"/>
        <v>0.91500000000000004</v>
      </c>
      <c r="AL120" s="19">
        <f t="shared" si="1009"/>
        <v>0.94500000000000006</v>
      </c>
      <c r="AM120" s="19">
        <f t="shared" si="1010"/>
        <v>0.995</v>
      </c>
      <c r="AN120" s="19">
        <f t="shared" si="1011"/>
        <v>0.96500000000000008</v>
      </c>
    </row>
    <row r="121" spans="2:40">
      <c r="B121" s="27">
        <f>0.5*(B120+B122)</f>
        <v>35</v>
      </c>
      <c r="C121" s="12"/>
      <c r="D121" s="12">
        <f t="shared" ref="D121" si="1082">0.5*(D120+D122)</f>
        <v>0.90500000000000003</v>
      </c>
      <c r="E121" s="12">
        <f t="shared" ref="E121" si="1083">0.5*(E120+E122)</f>
        <v>0.97499999999999998</v>
      </c>
      <c r="F121" s="12">
        <f t="shared" ref="F121" si="1084">0.5*(F120+F122)</f>
        <v>1</v>
      </c>
      <c r="G121" s="12">
        <f t="shared" ref="G121" si="1085">0.5*(G120+G122)</f>
        <v>1</v>
      </c>
      <c r="H121" s="12">
        <f t="shared" ref="H121" si="1086">0.5*(H120+H122)</f>
        <v>1</v>
      </c>
      <c r="I121" s="12">
        <f t="shared" ref="I121" si="1087">0.5*(I120+I122)</f>
        <v>0.875</v>
      </c>
      <c r="J121" s="12">
        <f t="shared" ref="J121" si="1088">0.5*(J120+J122)</f>
        <v>0.83000000000000007</v>
      </c>
      <c r="K121" s="12">
        <f t="shared" ref="K121" si="1089">0.5*(K120+K122)</f>
        <v>0.88500000000000001</v>
      </c>
      <c r="L121" s="12">
        <f t="shared" ref="L121" si="1090">0.5*(L120+L122)</f>
        <v>1</v>
      </c>
      <c r="M121" s="12">
        <f t="shared" ref="M121" si="1091">0.5*(M120+M122)</f>
        <v>0.9375</v>
      </c>
      <c r="N121" s="12">
        <f t="shared" ref="N121" si="1092">0.5*(N120+N122)</f>
        <v>0.85250000000000004</v>
      </c>
      <c r="O121" s="12">
        <f t="shared" ref="O121" si="1093">0.5*(O120+O122)</f>
        <v>0.85749999999999993</v>
      </c>
      <c r="P121" s="12">
        <f t="shared" ref="P121" si="1094">0.5*(P120+P122)</f>
        <v>0.89500000000000002</v>
      </c>
      <c r="Q121" s="12">
        <f t="shared" ref="Q121" si="1095">0.5*(Q120+Q122)</f>
        <v>0.94</v>
      </c>
      <c r="R121" s="12">
        <f t="shared" ref="R121" si="1096">0.5*(R120+R122)</f>
        <v>0.98750000000000004</v>
      </c>
      <c r="S121" s="12">
        <f t="shared" ref="S121" si="1097">0.5*(S120+S122)</f>
        <v>1</v>
      </c>
      <c r="T121" s="13">
        <f t="shared" ref="T121" si="1098">0.5*(T120+T122)</f>
        <v>1</v>
      </c>
      <c r="U121" s="28"/>
      <c r="V121" s="29">
        <f t="shared" ref="V121" si="1099">0.5*(V120+V122)</f>
        <v>35</v>
      </c>
      <c r="W121" s="12"/>
      <c r="X121" s="12">
        <f t="shared" ref="X121" si="1100">0.5*(X120+X122)</f>
        <v>0.92</v>
      </c>
      <c r="Y121" s="12">
        <f t="shared" ref="Y121" si="1101">0.5*(Y120+Y122)</f>
        <v>0.88</v>
      </c>
      <c r="Z121" s="12">
        <f t="shared" ref="Z121" si="1102">0.5*(Z120+Z122)</f>
        <v>0.98499999999999999</v>
      </c>
      <c r="AA121" s="12">
        <f t="shared" ref="AA121" si="1103">0.5*(AA120+AA122)</f>
        <v>1</v>
      </c>
      <c r="AB121" s="12">
        <f t="shared" ref="AB121" si="1104">0.5*(AB120+AB122)</f>
        <v>0.92500000000000004</v>
      </c>
      <c r="AC121" s="12">
        <f t="shared" ref="AC121" si="1105">0.5*(AC120+AC122)</f>
        <v>0.86499999999999999</v>
      </c>
      <c r="AD121" s="12">
        <f t="shared" ref="AD121" si="1106">0.5*(AD120+AD122)</f>
        <v>0.95499999999999996</v>
      </c>
      <c r="AE121" s="12">
        <f t="shared" ref="AE121" si="1107">0.5*(AE120+AE122)</f>
        <v>0.97499999999999998</v>
      </c>
      <c r="AF121" s="12">
        <f t="shared" ref="AF121" si="1108">0.5*(AF120+AF122)</f>
        <v>0.92500000000000004</v>
      </c>
      <c r="AG121" s="12">
        <f t="shared" ref="AG121" si="1109">0.5*(AG120+AG122)</f>
        <v>0.89500000000000002</v>
      </c>
      <c r="AH121" s="12">
        <f t="shared" ref="AH121" si="1110">0.5*(AH120+AH122)</f>
        <v>0.91</v>
      </c>
      <c r="AI121" s="12">
        <f t="shared" ref="AI121" si="1111">0.5*(AI120+AI122)</f>
        <v>0.96499999999999997</v>
      </c>
      <c r="AJ121" s="12">
        <f t="shared" ref="AJ121" si="1112">0.5*(AJ120+AJ122)</f>
        <v>0.94750000000000001</v>
      </c>
      <c r="AK121" s="12">
        <f t="shared" ref="AK121" si="1113">0.5*(AK120+AK122)</f>
        <v>0.9</v>
      </c>
      <c r="AL121" s="12">
        <f t="shared" ref="AL121" si="1114">0.5*(AL120+AL122)</f>
        <v>0.9325</v>
      </c>
      <c r="AM121" s="12">
        <f t="shared" ref="AM121" si="1115">0.5*(AM120+AM122)</f>
        <v>0.99249999999999994</v>
      </c>
      <c r="AN121" s="12">
        <f t="shared" ref="AN121" si="1116">0.5*(AN120+AN122)</f>
        <v>0.96250000000000002</v>
      </c>
    </row>
    <row r="122" spans="2:40">
      <c r="B122" s="25">
        <v>40</v>
      </c>
      <c r="C122" s="18" t="s">
        <v>34</v>
      </c>
      <c r="D122" s="19" t="s">
        <v>45</v>
      </c>
      <c r="E122" s="19" t="s">
        <v>38</v>
      </c>
      <c r="F122" s="19" t="s">
        <v>35</v>
      </c>
      <c r="G122" s="19" t="s">
        <v>35</v>
      </c>
      <c r="H122" s="19" t="s">
        <v>35</v>
      </c>
      <c r="I122" s="19" t="s">
        <v>46</v>
      </c>
      <c r="J122" s="19" t="s">
        <v>50</v>
      </c>
      <c r="K122" s="19" t="s">
        <v>51</v>
      </c>
      <c r="L122" s="19" t="str">
        <f t="shared" si="994"/>
        <v>1,00</v>
      </c>
      <c r="M122" s="19">
        <f t="shared" si="995"/>
        <v>0.92999999999999994</v>
      </c>
      <c r="N122" s="19">
        <f t="shared" si="996"/>
        <v>0.83000000000000007</v>
      </c>
      <c r="O122" s="19">
        <f t="shared" si="997"/>
        <v>0.83499999999999996</v>
      </c>
      <c r="P122" s="19">
        <f t="shared" si="998"/>
        <v>0.88</v>
      </c>
      <c r="Q122" s="19">
        <f t="shared" si="999"/>
        <v>0.92999999999999994</v>
      </c>
      <c r="R122" s="19">
        <f t="shared" si="1000"/>
        <v>0.98499999999999999</v>
      </c>
      <c r="S122" s="19">
        <f t="shared" si="1001"/>
        <v>1</v>
      </c>
      <c r="T122" s="19">
        <f t="shared" si="1002"/>
        <v>1</v>
      </c>
      <c r="V122" s="26">
        <v>40</v>
      </c>
      <c r="W122" s="18" t="s">
        <v>36</v>
      </c>
      <c r="X122" s="19" t="s">
        <v>44</v>
      </c>
      <c r="Y122" s="19" t="s">
        <v>46</v>
      </c>
      <c r="Z122" s="19" t="s">
        <v>37</v>
      </c>
      <c r="AA122" s="19" t="s">
        <v>35</v>
      </c>
      <c r="AB122" s="19" t="s">
        <v>43</v>
      </c>
      <c r="AC122" s="19" t="s">
        <v>49</v>
      </c>
      <c r="AD122" s="19" t="s">
        <v>40</v>
      </c>
      <c r="AE122" s="19" t="s">
        <v>38</v>
      </c>
      <c r="AF122" s="19" t="str">
        <f t="shared" si="1003"/>
        <v>0,92</v>
      </c>
      <c r="AG122" s="19">
        <f t="shared" si="1004"/>
        <v>0.88</v>
      </c>
      <c r="AH122" s="19">
        <f t="shared" si="1005"/>
        <v>0.89500000000000002</v>
      </c>
      <c r="AI122" s="19">
        <f t="shared" si="1006"/>
        <v>0.96</v>
      </c>
      <c r="AJ122" s="19">
        <f t="shared" si="1007"/>
        <v>0.94</v>
      </c>
      <c r="AK122" s="19">
        <f t="shared" si="1008"/>
        <v>0.88500000000000001</v>
      </c>
      <c r="AL122" s="19">
        <f t="shared" si="1009"/>
        <v>0.91999999999999993</v>
      </c>
      <c r="AM122" s="19">
        <f t="shared" si="1010"/>
        <v>0.99</v>
      </c>
      <c r="AN122" s="19">
        <f t="shared" si="1011"/>
        <v>0.96</v>
      </c>
    </row>
    <row r="123" spans="2:40">
      <c r="B123" s="27">
        <f>0.5*(B122+B124)</f>
        <v>45</v>
      </c>
      <c r="C123" s="12"/>
      <c r="D123" s="12">
        <f t="shared" ref="D123" si="1117">0.5*(D122+D124)</f>
        <v>0.87</v>
      </c>
      <c r="E123" s="12">
        <f t="shared" ref="E123" si="1118">0.5*(E122+E124)</f>
        <v>0.96</v>
      </c>
      <c r="F123" s="12">
        <f t="shared" ref="F123" si="1119">0.5*(F122+F124)</f>
        <v>1</v>
      </c>
      <c r="G123" s="12">
        <f t="shared" ref="G123" si="1120">0.5*(G122+G124)</f>
        <v>1</v>
      </c>
      <c r="H123" s="12">
        <f t="shared" ref="H123" si="1121">0.5*(H122+H124)</f>
        <v>1</v>
      </c>
      <c r="I123" s="12">
        <f t="shared" ref="I123" si="1122">0.5*(I122+I124)</f>
        <v>0.85</v>
      </c>
      <c r="J123" s="12">
        <f t="shared" ref="J123" si="1123">0.5*(J122+J124)</f>
        <v>0.77500000000000002</v>
      </c>
      <c r="K123" s="12">
        <f t="shared" ref="K123" si="1124">0.5*(K122+K124)</f>
        <v>0.85</v>
      </c>
      <c r="L123" s="12">
        <f t="shared" ref="L123" si="1125">0.5*(L122+L124)</f>
        <v>1</v>
      </c>
      <c r="M123" s="12">
        <f t="shared" ref="M123" si="1126">0.5*(M122+M124)</f>
        <v>0.92499999999999993</v>
      </c>
      <c r="N123" s="12">
        <f t="shared" ref="N123" si="1127">0.5*(N122+N124)</f>
        <v>0.8125</v>
      </c>
      <c r="O123" s="12">
        <f t="shared" ref="O123" si="1128">0.5*(O122+O124)</f>
        <v>0.8125</v>
      </c>
      <c r="P123" s="12">
        <f t="shared" ref="P123" si="1129">0.5*(P122+P124)</f>
        <v>0.86</v>
      </c>
      <c r="Q123" s="12">
        <f t="shared" ref="Q123" si="1130">0.5*(Q122+Q124)</f>
        <v>0.91499999999999992</v>
      </c>
      <c r="R123" s="12">
        <f t="shared" ref="R123" si="1131">0.5*(R122+R124)</f>
        <v>0.98</v>
      </c>
      <c r="S123" s="12">
        <f t="shared" ref="S123" si="1132">0.5*(S122+S124)</f>
        <v>1</v>
      </c>
      <c r="T123" s="13">
        <f t="shared" ref="T123" si="1133">0.5*(T122+T124)</f>
        <v>1</v>
      </c>
      <c r="U123" s="28"/>
      <c r="V123" s="29">
        <f t="shared" ref="V123" si="1134">0.5*(V122+V124)</f>
        <v>45</v>
      </c>
      <c r="W123" s="12"/>
      <c r="X123" s="12">
        <f t="shared" ref="X123" si="1135">0.5*(X122+X124)</f>
        <v>0.9</v>
      </c>
      <c r="Y123" s="12">
        <f t="shared" ref="Y123" si="1136">0.5*(Y122+Y124)</f>
        <v>0.83499999999999996</v>
      </c>
      <c r="Z123" s="12">
        <f t="shared" ref="Z123" si="1137">0.5*(Z122+Z124)</f>
        <v>0.97499999999999998</v>
      </c>
      <c r="AA123" s="12">
        <f t="shared" ref="AA123" si="1138">0.5*(AA122+AA124)</f>
        <v>1</v>
      </c>
      <c r="AB123" s="12">
        <f t="shared" ref="AB123" si="1139">0.5*(AB122+AB124)</f>
        <v>0.92</v>
      </c>
      <c r="AC123" s="12">
        <f t="shared" ref="AC123" si="1140">0.5*(AC122+AC124)</f>
        <v>0.81499999999999995</v>
      </c>
      <c r="AD123" s="12">
        <f t="shared" ref="AD123" si="1141">0.5*(AD122+AD124)</f>
        <v>0.94</v>
      </c>
      <c r="AE123" s="12">
        <f t="shared" ref="AE123" si="1142">0.5*(AE122+AE124)</f>
        <v>0.96499999999999997</v>
      </c>
      <c r="AF123" s="12">
        <f t="shared" ref="AF123" si="1143">0.5*(AF122+AF124)</f>
        <v>0.92</v>
      </c>
      <c r="AG123" s="12">
        <f t="shared" ref="AG123" si="1144">0.5*(AG122+AG124)</f>
        <v>0.86749999999999994</v>
      </c>
      <c r="AH123" s="12">
        <f t="shared" ref="AH123" si="1145">0.5*(AH122+AH124)</f>
        <v>0.87750000000000006</v>
      </c>
      <c r="AI123" s="12">
        <f t="shared" ref="AI123" si="1146">0.5*(AI122+AI124)</f>
        <v>0.95250000000000001</v>
      </c>
      <c r="AJ123" s="12">
        <f t="shared" ref="AJ123" si="1147">0.5*(AJ122+AJ124)</f>
        <v>0.9325</v>
      </c>
      <c r="AK123" s="12">
        <f t="shared" ref="AK123" si="1148">0.5*(AK122+AK124)</f>
        <v>0.86750000000000005</v>
      </c>
      <c r="AL123" s="12">
        <f t="shared" ref="AL123" si="1149">0.5*(AL122+AL124)</f>
        <v>0.90500000000000003</v>
      </c>
      <c r="AM123" s="12">
        <f t="shared" ref="AM123" si="1150">0.5*(AM122+AM124)</f>
        <v>0.98750000000000004</v>
      </c>
      <c r="AN123" s="12">
        <f t="shared" ref="AN123" si="1151">0.5*(AN122+AN124)</f>
        <v>0.96</v>
      </c>
    </row>
    <row r="124" spans="2:40">
      <c r="B124" s="25">
        <v>50</v>
      </c>
      <c r="C124" s="18" t="s">
        <v>34</v>
      </c>
      <c r="D124" s="19" t="s">
        <v>59</v>
      </c>
      <c r="E124" s="19" t="s">
        <v>40</v>
      </c>
      <c r="F124" s="19" t="s">
        <v>35</v>
      </c>
      <c r="G124" s="19" t="s">
        <v>35</v>
      </c>
      <c r="H124" s="19" t="s">
        <v>35</v>
      </c>
      <c r="I124" s="19" t="s">
        <v>49</v>
      </c>
      <c r="J124" s="19" t="s">
        <v>92</v>
      </c>
      <c r="K124" s="19" t="s">
        <v>54</v>
      </c>
      <c r="L124" s="19" t="str">
        <f t="shared" si="994"/>
        <v>1,00</v>
      </c>
      <c r="M124" s="19">
        <f t="shared" si="995"/>
        <v>0.91999999999999993</v>
      </c>
      <c r="N124" s="19">
        <f t="shared" si="996"/>
        <v>0.79499999999999993</v>
      </c>
      <c r="O124" s="19">
        <f t="shared" si="997"/>
        <v>0.79</v>
      </c>
      <c r="P124" s="19">
        <f t="shared" si="998"/>
        <v>0.84</v>
      </c>
      <c r="Q124" s="19">
        <f t="shared" si="999"/>
        <v>0.89999999999999991</v>
      </c>
      <c r="R124" s="19">
        <f t="shared" si="1000"/>
        <v>0.97499999999999998</v>
      </c>
      <c r="S124" s="19">
        <f t="shared" si="1001"/>
        <v>1</v>
      </c>
      <c r="T124" s="19">
        <f t="shared" si="1002"/>
        <v>1</v>
      </c>
      <c r="V124" s="26">
        <v>50</v>
      </c>
      <c r="W124" s="18" t="s">
        <v>36</v>
      </c>
      <c r="X124" s="19" t="s">
        <v>45</v>
      </c>
      <c r="Y124" s="19" t="s">
        <v>60</v>
      </c>
      <c r="Z124" s="19" t="s">
        <v>38</v>
      </c>
      <c r="AA124" s="19" t="s">
        <v>35</v>
      </c>
      <c r="AB124" s="19" t="s">
        <v>43</v>
      </c>
      <c r="AC124" s="19" t="s">
        <v>85</v>
      </c>
      <c r="AD124" s="19" t="s">
        <v>41</v>
      </c>
      <c r="AE124" s="19" t="s">
        <v>39</v>
      </c>
      <c r="AF124" s="19" t="str">
        <f t="shared" si="1003"/>
        <v>0,92</v>
      </c>
      <c r="AG124" s="19">
        <f t="shared" si="1004"/>
        <v>0.85499999999999998</v>
      </c>
      <c r="AH124" s="19">
        <f t="shared" si="1005"/>
        <v>0.8600000000000001</v>
      </c>
      <c r="AI124" s="19">
        <f t="shared" si="1006"/>
        <v>0.94500000000000006</v>
      </c>
      <c r="AJ124" s="19">
        <f t="shared" si="1007"/>
        <v>0.92500000000000004</v>
      </c>
      <c r="AK124" s="19">
        <f t="shared" si="1008"/>
        <v>0.85000000000000009</v>
      </c>
      <c r="AL124" s="19">
        <f t="shared" si="1009"/>
        <v>0.89</v>
      </c>
      <c r="AM124" s="19">
        <f t="shared" si="1010"/>
        <v>0.98499999999999999</v>
      </c>
      <c r="AN124" s="19">
        <f t="shared" si="1011"/>
        <v>0.96</v>
      </c>
    </row>
    <row r="125" spans="2:40">
      <c r="B125" s="27">
        <f>0.5*(B124+B126)</f>
        <v>55</v>
      </c>
      <c r="C125" s="12"/>
      <c r="D125" s="12">
        <f t="shared" ref="D125" si="1152">0.5*(D124+D126)</f>
        <v>0.83000000000000007</v>
      </c>
      <c r="E125" s="12">
        <f t="shared" ref="E125" si="1153">0.5*(E124+E126)</f>
        <v>0.94</v>
      </c>
      <c r="F125" s="12">
        <f t="shared" ref="F125" si="1154">0.5*(F124+F126)</f>
        <v>1</v>
      </c>
      <c r="G125" s="12">
        <f t="shared" ref="G125" si="1155">0.5*(G124+G126)</f>
        <v>1</v>
      </c>
      <c r="H125" s="12">
        <f t="shared" ref="H125" si="1156">0.5*(H124+H126)</f>
        <v>1</v>
      </c>
      <c r="I125" s="12">
        <f t="shared" ref="I125" si="1157">0.5*(I124+I126)</f>
        <v>0.83</v>
      </c>
      <c r="J125" s="12">
        <f t="shared" ref="J125" si="1158">0.5*(J124+J126)</f>
        <v>0.72</v>
      </c>
      <c r="K125" s="12">
        <f t="shared" ref="K125" si="1159">0.5*(K124+K126)</f>
        <v>0.81</v>
      </c>
      <c r="L125" s="12">
        <f t="shared" ref="L125" si="1160">0.5*(L124+L126)</f>
        <v>1</v>
      </c>
      <c r="M125" s="12">
        <f t="shared" ref="M125" si="1161">0.5*(M124+M126)</f>
        <v>0.91499999999999992</v>
      </c>
      <c r="N125" s="12">
        <f t="shared" ref="N125" si="1162">0.5*(N124+N126)</f>
        <v>0.77499999999999991</v>
      </c>
      <c r="O125" s="12">
        <f t="shared" ref="O125" si="1163">0.5*(O124+O126)</f>
        <v>0.76500000000000001</v>
      </c>
      <c r="P125" s="12">
        <f t="shared" ref="P125" si="1164">0.5*(P124+P126)</f>
        <v>0.82000000000000006</v>
      </c>
      <c r="Q125" s="12">
        <f t="shared" ref="Q125" si="1165">0.5*(Q124+Q126)</f>
        <v>0.88500000000000001</v>
      </c>
      <c r="R125" s="12">
        <f t="shared" ref="R125" si="1166">0.5*(R124+R126)</f>
        <v>0.97</v>
      </c>
      <c r="S125" s="12">
        <f t="shared" ref="S125" si="1167">0.5*(S124+S126)</f>
        <v>1</v>
      </c>
      <c r="T125" s="13">
        <f t="shared" ref="T125" si="1168">0.5*(T124+T126)</f>
        <v>1</v>
      </c>
      <c r="U125" s="28"/>
      <c r="V125" s="29">
        <f t="shared" ref="V125" si="1169">0.5*(V124+V126)</f>
        <v>55</v>
      </c>
      <c r="W125" s="12"/>
      <c r="X125" s="12">
        <f t="shared" ref="X125" si="1170">0.5*(X124+X126)</f>
        <v>0.88500000000000001</v>
      </c>
      <c r="Y125" s="12">
        <f t="shared" ref="Y125" si="1171">0.5*(Y124+Y126)</f>
        <v>0.78500000000000003</v>
      </c>
      <c r="Z125" s="12">
        <f t="shared" ref="Z125" si="1172">0.5*(Z124+Z126)</f>
        <v>0.96499999999999997</v>
      </c>
      <c r="AA125" s="12">
        <f t="shared" ref="AA125" si="1173">0.5*(AA124+AA126)</f>
        <v>1</v>
      </c>
      <c r="AB125" s="12">
        <f t="shared" ref="AB125" si="1174">0.5*(AB124+AB126)</f>
        <v>0.92</v>
      </c>
      <c r="AC125" s="12">
        <f t="shared" ref="AC125" si="1175">0.5*(AC124+AC126)</f>
        <v>0.76</v>
      </c>
      <c r="AD125" s="12">
        <f t="shared" ref="AD125" si="1176">0.5*(AD124+AD126)</f>
        <v>0.92</v>
      </c>
      <c r="AE125" s="12">
        <f t="shared" ref="AE125" si="1177">0.5*(AE124+AE126)</f>
        <v>0.96</v>
      </c>
      <c r="AF125" s="12">
        <f t="shared" ref="AF125" si="1178">0.5*(AF124+AF126)</f>
        <v>0.92</v>
      </c>
      <c r="AG125" s="12">
        <f t="shared" ref="AG125" si="1179">0.5*(AG124+AG126)</f>
        <v>0.84</v>
      </c>
      <c r="AH125" s="12">
        <f t="shared" ref="AH125" si="1180">0.5*(AH124+AH126)</f>
        <v>0.84000000000000008</v>
      </c>
      <c r="AI125" s="12">
        <f t="shared" ref="AI125" si="1181">0.5*(AI124+AI126)</f>
        <v>0.94000000000000006</v>
      </c>
      <c r="AJ125" s="12">
        <f t="shared" ref="AJ125" si="1182">0.5*(AJ124+AJ126)</f>
        <v>0.92249999999999999</v>
      </c>
      <c r="AK125" s="12">
        <f t="shared" ref="AK125" si="1183">0.5*(AK124+AK126)</f>
        <v>0.83500000000000008</v>
      </c>
      <c r="AL125" s="12">
        <f t="shared" ref="AL125" si="1184">0.5*(AL124+AL126)</f>
        <v>0.875</v>
      </c>
      <c r="AM125" s="12">
        <f t="shared" ref="AM125" si="1185">0.5*(AM124+AM126)</f>
        <v>0.98249999999999993</v>
      </c>
      <c r="AN125" s="12">
        <f t="shared" ref="AN125" si="1186">0.5*(AN124+AN126)</f>
        <v>0.96</v>
      </c>
    </row>
    <row r="126" spans="2:40">
      <c r="B126" s="25">
        <v>60</v>
      </c>
      <c r="C126" s="18" t="s">
        <v>34</v>
      </c>
      <c r="D126" s="19" t="s">
        <v>60</v>
      </c>
      <c r="E126" s="19" t="s">
        <v>41</v>
      </c>
      <c r="F126" s="19" t="s">
        <v>35</v>
      </c>
      <c r="G126" s="19" t="s">
        <v>35</v>
      </c>
      <c r="H126" s="19" t="s">
        <v>35</v>
      </c>
      <c r="I126" s="19" t="s">
        <v>55</v>
      </c>
      <c r="J126" s="19" t="s">
        <v>94</v>
      </c>
      <c r="K126" s="19" t="s">
        <v>85</v>
      </c>
      <c r="L126" s="19" t="str">
        <f t="shared" si="994"/>
        <v>1,00</v>
      </c>
      <c r="M126" s="19">
        <f t="shared" si="995"/>
        <v>0.90999999999999992</v>
      </c>
      <c r="N126" s="19">
        <f t="shared" si="996"/>
        <v>0.75499999999999989</v>
      </c>
      <c r="O126" s="19">
        <f t="shared" si="997"/>
        <v>0.74</v>
      </c>
      <c r="P126" s="19">
        <f t="shared" si="998"/>
        <v>0.8</v>
      </c>
      <c r="Q126" s="19">
        <f t="shared" si="999"/>
        <v>0.87000000000000011</v>
      </c>
      <c r="R126" s="19">
        <f t="shared" si="1000"/>
        <v>0.96500000000000008</v>
      </c>
      <c r="S126" s="19">
        <f t="shared" si="1001"/>
        <v>1</v>
      </c>
      <c r="T126" s="19">
        <f t="shared" si="1002"/>
        <v>1</v>
      </c>
      <c r="V126" s="26">
        <v>60</v>
      </c>
      <c r="W126" s="18" t="s">
        <v>36</v>
      </c>
      <c r="X126" s="19" t="s">
        <v>48</v>
      </c>
      <c r="Y126" s="19" t="s">
        <v>91</v>
      </c>
      <c r="Z126" s="19" t="s">
        <v>39</v>
      </c>
      <c r="AA126" s="19" t="s">
        <v>35</v>
      </c>
      <c r="AB126" s="19" t="s">
        <v>43</v>
      </c>
      <c r="AC126" s="19" t="s">
        <v>52</v>
      </c>
      <c r="AD126" s="19" t="s">
        <v>44</v>
      </c>
      <c r="AE126" s="19" t="s">
        <v>39</v>
      </c>
      <c r="AF126" s="19" t="str">
        <f t="shared" si="1003"/>
        <v>0,92</v>
      </c>
      <c r="AG126" s="19">
        <f t="shared" si="1004"/>
        <v>0.82499999999999996</v>
      </c>
      <c r="AH126" s="19">
        <f t="shared" si="1005"/>
        <v>0.82000000000000006</v>
      </c>
      <c r="AI126" s="19">
        <f t="shared" si="1006"/>
        <v>0.93500000000000005</v>
      </c>
      <c r="AJ126" s="19">
        <f t="shared" si="1007"/>
        <v>0.91999999999999993</v>
      </c>
      <c r="AK126" s="19">
        <f t="shared" si="1008"/>
        <v>0.82000000000000006</v>
      </c>
      <c r="AL126" s="19">
        <f t="shared" si="1009"/>
        <v>0.86</v>
      </c>
      <c r="AM126" s="19">
        <f t="shared" si="1010"/>
        <v>0.98</v>
      </c>
      <c r="AN126" s="19">
        <f t="shared" si="1011"/>
        <v>0.96</v>
      </c>
    </row>
    <row r="127" spans="2:40">
      <c r="B127" s="27">
        <f>0.5*(B126+B128)</f>
        <v>65</v>
      </c>
      <c r="C127" s="12"/>
      <c r="D127" s="12">
        <f t="shared" ref="D127" si="1187">0.5*(D126+D128)</f>
        <v>0.78500000000000003</v>
      </c>
      <c r="E127" s="12">
        <f t="shared" ref="E127" si="1188">0.5*(E126+E128)</f>
        <v>0.91500000000000004</v>
      </c>
      <c r="F127" s="12">
        <f t="shared" ref="F127" si="1189">0.5*(F126+F128)</f>
        <v>1</v>
      </c>
      <c r="G127" s="12">
        <f t="shared" ref="G127" si="1190">0.5*(G126+G128)</f>
        <v>1</v>
      </c>
      <c r="H127" s="12">
        <f t="shared" ref="H127" si="1191">0.5*(H126+H128)</f>
        <v>1</v>
      </c>
      <c r="I127" s="12">
        <f t="shared" ref="I127" si="1192">0.5*(I126+I128)</f>
        <v>0.81499999999999995</v>
      </c>
      <c r="J127" s="12">
        <f t="shared" ref="J127" si="1193">0.5*(J126+J128)</f>
        <v>0.65500000000000003</v>
      </c>
      <c r="K127" s="12">
        <f t="shared" ref="K127" si="1194">0.5*(K126+K128)</f>
        <v>0.76</v>
      </c>
      <c r="L127" s="12">
        <f t="shared" ref="L127" si="1195">0.5*(L126+L128)</f>
        <v>1</v>
      </c>
      <c r="M127" s="12">
        <f t="shared" ref="M127" si="1196">0.5*(M126+M128)</f>
        <v>0.90749999999999997</v>
      </c>
      <c r="N127" s="12">
        <f t="shared" ref="N127" si="1197">0.5*(N126+N128)</f>
        <v>0.73499999999999999</v>
      </c>
      <c r="O127" s="12">
        <f t="shared" ref="O127" si="1198">0.5*(O126+O128)</f>
        <v>0.70750000000000002</v>
      </c>
      <c r="P127" s="12">
        <f t="shared" ref="P127" si="1199">0.5*(P126+P128)</f>
        <v>0.77249999999999996</v>
      </c>
      <c r="Q127" s="12">
        <f t="shared" ref="Q127" si="1200">0.5*(Q126+Q128)</f>
        <v>0.85000000000000009</v>
      </c>
      <c r="R127" s="12">
        <f t="shared" ref="R127" si="1201">0.5*(R126+R128)</f>
        <v>0.95750000000000002</v>
      </c>
      <c r="S127" s="12">
        <f t="shared" ref="S127" si="1202">0.5*(S126+S128)</f>
        <v>1</v>
      </c>
      <c r="T127" s="13">
        <f t="shared" ref="T127" si="1203">0.5*(T126+T128)</f>
        <v>1</v>
      </c>
      <c r="U127" s="28"/>
      <c r="V127" s="29">
        <f t="shared" ref="V127" si="1204">0.5*(V126+V128)</f>
        <v>65</v>
      </c>
      <c r="W127" s="12"/>
      <c r="X127" s="12">
        <f t="shared" ref="X127" si="1205">0.5*(X126+X128)</f>
        <v>0.87</v>
      </c>
      <c r="Y127" s="12">
        <f t="shared" ref="Y127" si="1206">0.5*(Y126+Y128)</f>
        <v>0.73499999999999999</v>
      </c>
      <c r="Z127" s="12">
        <f t="shared" ref="Z127" si="1207">0.5*(Z126+Z128)</f>
        <v>0.95</v>
      </c>
      <c r="AA127" s="12">
        <f t="shared" ref="AA127" si="1208">0.5*(AA126+AA128)</f>
        <v>1</v>
      </c>
      <c r="AB127" s="12">
        <f t="shared" ref="AB127" si="1209">0.5*(AB126+AB128)</f>
        <v>0.92</v>
      </c>
      <c r="AC127" s="12">
        <f t="shared" ref="AC127" si="1210">0.5*(AC126+AC128)</f>
        <v>0.69500000000000006</v>
      </c>
      <c r="AD127" s="12">
        <f t="shared" ref="AD127" si="1211">0.5*(AD126+AD128)</f>
        <v>0.89500000000000002</v>
      </c>
      <c r="AE127" s="12">
        <f t="shared" ref="AE127" si="1212">0.5*(AE126+AE128)</f>
        <v>0.95499999999999996</v>
      </c>
      <c r="AF127" s="12">
        <f t="shared" ref="AF127" si="1213">0.5*(AF126+AF128)</f>
        <v>0.92</v>
      </c>
      <c r="AG127" s="12">
        <f t="shared" ref="AG127" si="1214">0.5*(AG126+AG128)</f>
        <v>0.8075</v>
      </c>
      <c r="AH127" s="12">
        <f t="shared" ref="AH127" si="1215">0.5*(AH126+AH128)</f>
        <v>0.79500000000000004</v>
      </c>
      <c r="AI127" s="12">
        <f t="shared" ref="AI127" si="1216">0.5*(AI126+AI128)</f>
        <v>0.92500000000000004</v>
      </c>
      <c r="AJ127" s="12">
        <f t="shared" ref="AJ127" si="1217">0.5*(AJ126+AJ128)</f>
        <v>0.91249999999999998</v>
      </c>
      <c r="AK127" s="12">
        <f t="shared" ref="AK127" si="1218">0.5*(AK126+AK128)</f>
        <v>0.80249999999999999</v>
      </c>
      <c r="AL127" s="12">
        <f t="shared" ref="AL127" si="1219">0.5*(AL126+AL128)</f>
        <v>0.84250000000000003</v>
      </c>
      <c r="AM127" s="12">
        <f t="shared" ref="AM127" si="1220">0.5*(AM126+AM128)</f>
        <v>0.97499999999999998</v>
      </c>
      <c r="AN127" s="12">
        <f t="shared" ref="AN127" si="1221">0.5*(AN126+AN128)</f>
        <v>0.96</v>
      </c>
    </row>
    <row r="128" spans="2:40">
      <c r="B128" s="25">
        <v>70</v>
      </c>
      <c r="C128" s="18" t="s">
        <v>34</v>
      </c>
      <c r="D128" s="19" t="s">
        <v>91</v>
      </c>
      <c r="E128" s="19" t="s">
        <v>47</v>
      </c>
      <c r="F128" s="19" t="s">
        <v>35</v>
      </c>
      <c r="G128" s="19" t="s">
        <v>35</v>
      </c>
      <c r="H128" s="19" t="s">
        <v>35</v>
      </c>
      <c r="I128" s="19" t="s">
        <v>60</v>
      </c>
      <c r="J128" s="19" t="s">
        <v>57</v>
      </c>
      <c r="K128" s="19" t="s">
        <v>52</v>
      </c>
      <c r="L128" s="19" t="str">
        <f t="shared" si="994"/>
        <v>1,00</v>
      </c>
      <c r="M128" s="19">
        <f t="shared" si="995"/>
        <v>0.90500000000000003</v>
      </c>
      <c r="N128" s="19">
        <f t="shared" si="996"/>
        <v>0.71500000000000008</v>
      </c>
      <c r="O128" s="19">
        <f t="shared" si="997"/>
        <v>0.67500000000000004</v>
      </c>
      <c r="P128" s="19">
        <f t="shared" si="998"/>
        <v>0.745</v>
      </c>
      <c r="Q128" s="19">
        <f t="shared" si="999"/>
        <v>0.83000000000000007</v>
      </c>
      <c r="R128" s="19">
        <f t="shared" si="1000"/>
        <v>0.95</v>
      </c>
      <c r="S128" s="19">
        <f t="shared" si="1001"/>
        <v>1</v>
      </c>
      <c r="T128" s="19">
        <f t="shared" si="1002"/>
        <v>1</v>
      </c>
      <c r="V128" s="26">
        <v>70</v>
      </c>
      <c r="W128" s="18" t="s">
        <v>36</v>
      </c>
      <c r="X128" s="19" t="s">
        <v>46</v>
      </c>
      <c r="Y128" s="19" t="s">
        <v>121</v>
      </c>
      <c r="Z128" s="19" t="s">
        <v>42</v>
      </c>
      <c r="AA128" s="19" t="s">
        <v>35</v>
      </c>
      <c r="AB128" s="19" t="s">
        <v>43</v>
      </c>
      <c r="AC128" s="19" t="s">
        <v>95</v>
      </c>
      <c r="AD128" s="19" t="s">
        <v>48</v>
      </c>
      <c r="AE128" s="19" t="s">
        <v>40</v>
      </c>
      <c r="AF128" s="19" t="str">
        <f t="shared" si="1003"/>
        <v>0,92</v>
      </c>
      <c r="AG128" s="19">
        <f t="shared" si="1004"/>
        <v>0.79</v>
      </c>
      <c r="AH128" s="19">
        <f t="shared" si="1005"/>
        <v>0.77</v>
      </c>
      <c r="AI128" s="19">
        <f t="shared" si="1006"/>
        <v>0.91500000000000004</v>
      </c>
      <c r="AJ128" s="19">
        <f t="shared" si="1007"/>
        <v>0.90500000000000003</v>
      </c>
      <c r="AK128" s="19">
        <f t="shared" si="1008"/>
        <v>0.78499999999999992</v>
      </c>
      <c r="AL128" s="19">
        <f t="shared" si="1009"/>
        <v>0.82499999999999996</v>
      </c>
      <c r="AM128" s="19">
        <f t="shared" si="1010"/>
        <v>0.97</v>
      </c>
      <c r="AN128" s="19">
        <f t="shared" si="1011"/>
        <v>0.96</v>
      </c>
    </row>
    <row r="129" spans="2:40">
      <c r="B129" s="27">
        <f>0.5*(B128+B130)</f>
        <v>75</v>
      </c>
      <c r="C129" s="12"/>
      <c r="D129" s="12">
        <f t="shared" ref="D129" si="1222">0.5*(D128+D130)</f>
        <v>0.76</v>
      </c>
      <c r="E129" s="12">
        <f t="shared" ref="E129" si="1223">0.5*(E128+E130)</f>
        <v>0.9</v>
      </c>
      <c r="F129" s="12">
        <f t="shared" ref="F129" si="1224">0.5*(F128+F130)</f>
        <v>1</v>
      </c>
      <c r="G129" s="12">
        <f t="shared" ref="G129" si="1225">0.5*(G128+G130)</f>
        <v>1</v>
      </c>
      <c r="H129" s="12">
        <f t="shared" ref="H129" si="1226">0.5*(H128+H130)</f>
        <v>1</v>
      </c>
      <c r="I129" s="12">
        <f t="shared" ref="I129" si="1227">0.5*(I128+I130)</f>
        <v>0.81</v>
      </c>
      <c r="J129" s="12">
        <f t="shared" ref="J129" si="1228">0.5*(J128+J130)</f>
        <v>0.62</v>
      </c>
      <c r="K129" s="12">
        <f t="shared" ref="K129" si="1229">0.5*(K128+K130)</f>
        <v>0.73</v>
      </c>
      <c r="L129" s="12">
        <f t="shared" ref="L129" si="1230">0.5*(L128+L130)</f>
        <v>1</v>
      </c>
      <c r="M129" s="12">
        <f t="shared" ref="M129" si="1231">0.5*(M128+M130)</f>
        <v>0.90500000000000003</v>
      </c>
      <c r="N129" s="12">
        <f t="shared" ref="N129" si="1232">0.5*(N128+N130)</f>
        <v>0.71500000000000008</v>
      </c>
      <c r="O129" s="12">
        <f t="shared" ref="O129" si="1233">0.5*(O128+O130)</f>
        <v>0.67500000000000004</v>
      </c>
      <c r="P129" s="12">
        <f t="shared" ref="P129" si="1234">0.5*(P128+P130)</f>
        <v>0.745</v>
      </c>
      <c r="Q129" s="12">
        <f t="shared" ref="Q129" si="1235">0.5*(Q128+Q130)</f>
        <v>0.83000000000000007</v>
      </c>
      <c r="R129" s="12">
        <f t="shared" ref="R129" si="1236">0.5*(R128+R130)</f>
        <v>0.95</v>
      </c>
      <c r="S129" s="12">
        <f t="shared" ref="S129" si="1237">0.5*(S128+S130)</f>
        <v>1</v>
      </c>
      <c r="T129" s="13">
        <f t="shared" ref="T129" si="1238">0.5*(T128+T130)</f>
        <v>1</v>
      </c>
      <c r="U129" s="28"/>
      <c r="V129" s="29">
        <f t="shared" ref="V129" si="1239">0.5*(V128+V130)</f>
        <v>75</v>
      </c>
      <c r="W129" s="12"/>
      <c r="X129" s="12">
        <f t="shared" ref="X129" si="1240">0.5*(X128+X130)</f>
        <v>0.86</v>
      </c>
      <c r="Y129" s="12">
        <f t="shared" ref="Y129" si="1241">0.5*(Y128+Y130)</f>
        <v>0.71</v>
      </c>
      <c r="Z129" s="12">
        <f t="shared" ref="Z129" si="1242">0.5*(Z128+Z130)</f>
        <v>0.94</v>
      </c>
      <c r="AA129" s="12">
        <f t="shared" ref="AA129" si="1243">0.5*(AA128+AA130)</f>
        <v>1</v>
      </c>
      <c r="AB129" s="12">
        <f t="shared" ref="AB129" si="1244">0.5*(AB128+AB130)</f>
        <v>0.92</v>
      </c>
      <c r="AC129" s="12">
        <f t="shared" ref="AC129" si="1245">0.5*(AC128+AC130)</f>
        <v>0.66</v>
      </c>
      <c r="AD129" s="12">
        <f t="shared" ref="AD129" si="1246">0.5*(AD128+AD130)</f>
        <v>0.88</v>
      </c>
      <c r="AE129" s="12">
        <f t="shared" ref="AE129" si="1247">0.5*(AE128+AE130)</f>
        <v>0.95</v>
      </c>
      <c r="AF129" s="12">
        <f t="shared" ref="AF129" si="1248">0.5*(AF128+AF130)</f>
        <v>0.92</v>
      </c>
      <c r="AG129" s="12">
        <f t="shared" ref="AG129" si="1249">0.5*(AG128+AG130)</f>
        <v>0.79</v>
      </c>
      <c r="AH129" s="12">
        <f t="shared" ref="AH129" si="1250">0.5*(AH128+AH130)</f>
        <v>0.77</v>
      </c>
      <c r="AI129" s="12">
        <f t="shared" ref="AI129" si="1251">0.5*(AI128+AI130)</f>
        <v>0.91500000000000004</v>
      </c>
      <c r="AJ129" s="12">
        <f t="shared" ref="AJ129" si="1252">0.5*(AJ128+AJ130)</f>
        <v>0.90500000000000003</v>
      </c>
      <c r="AK129" s="12">
        <f t="shared" ref="AK129" si="1253">0.5*(AK128+AK130)</f>
        <v>0.78499999999999992</v>
      </c>
      <c r="AL129" s="12">
        <f t="shared" ref="AL129" si="1254">0.5*(AL128+AL130)</f>
        <v>0.82499999999999996</v>
      </c>
      <c r="AM129" s="12">
        <f t="shared" ref="AM129" si="1255">0.5*(AM128+AM130)</f>
        <v>0.97</v>
      </c>
      <c r="AN129" s="12">
        <f t="shared" ref="AN129" si="1256">0.5*(AN128+AN130)</f>
        <v>0.96</v>
      </c>
    </row>
    <row r="130" spans="2:40">
      <c r="B130" s="25">
        <v>80</v>
      </c>
      <c r="C130" s="18" t="s">
        <v>34</v>
      </c>
      <c r="D130" s="19" t="s">
        <v>91</v>
      </c>
      <c r="E130" s="19" t="s">
        <v>47</v>
      </c>
      <c r="F130" s="19" t="s">
        <v>35</v>
      </c>
      <c r="G130" s="19" t="s">
        <v>35</v>
      </c>
      <c r="H130" s="19" t="s">
        <v>35</v>
      </c>
      <c r="I130" s="19" t="s">
        <v>60</v>
      </c>
      <c r="J130" s="19" t="s">
        <v>57</v>
      </c>
      <c r="K130" s="19" t="s">
        <v>52</v>
      </c>
      <c r="L130" s="19" t="str">
        <f t="shared" si="994"/>
        <v>1,00</v>
      </c>
      <c r="M130" s="19">
        <f t="shared" si="995"/>
        <v>0.90500000000000003</v>
      </c>
      <c r="N130" s="19">
        <f t="shared" si="996"/>
        <v>0.71500000000000008</v>
      </c>
      <c r="O130" s="19">
        <f t="shared" si="997"/>
        <v>0.67500000000000004</v>
      </c>
      <c r="P130" s="19">
        <f t="shared" si="998"/>
        <v>0.745</v>
      </c>
      <c r="Q130" s="19">
        <f t="shared" si="999"/>
        <v>0.83000000000000007</v>
      </c>
      <c r="R130" s="19">
        <f t="shared" si="1000"/>
        <v>0.95</v>
      </c>
      <c r="S130" s="19">
        <f t="shared" si="1001"/>
        <v>1</v>
      </c>
      <c r="T130" s="19">
        <f t="shared" si="1002"/>
        <v>1</v>
      </c>
      <c r="V130" s="26">
        <v>80</v>
      </c>
      <c r="W130" s="18" t="s">
        <v>36</v>
      </c>
      <c r="X130" s="19" t="s">
        <v>46</v>
      </c>
      <c r="Y130" s="19" t="s">
        <v>121</v>
      </c>
      <c r="Z130" s="19" t="s">
        <v>42</v>
      </c>
      <c r="AA130" s="19" t="s">
        <v>35</v>
      </c>
      <c r="AB130" s="19" t="s">
        <v>43</v>
      </c>
      <c r="AC130" s="19" t="s">
        <v>95</v>
      </c>
      <c r="AD130" s="19" t="s">
        <v>48</v>
      </c>
      <c r="AE130" s="19" t="s">
        <v>40</v>
      </c>
      <c r="AF130" s="19" t="str">
        <f t="shared" si="1003"/>
        <v>0,92</v>
      </c>
      <c r="AG130" s="19">
        <f t="shared" si="1004"/>
        <v>0.79</v>
      </c>
      <c r="AH130" s="19">
        <f t="shared" si="1005"/>
        <v>0.77</v>
      </c>
      <c r="AI130" s="19">
        <f t="shared" si="1006"/>
        <v>0.91500000000000004</v>
      </c>
      <c r="AJ130" s="19">
        <f t="shared" si="1007"/>
        <v>0.90500000000000003</v>
      </c>
      <c r="AK130" s="19">
        <f t="shared" si="1008"/>
        <v>0.78499999999999992</v>
      </c>
      <c r="AL130" s="19">
        <f t="shared" si="1009"/>
        <v>0.82499999999999996</v>
      </c>
      <c r="AM130" s="19">
        <f t="shared" si="1010"/>
        <v>0.97</v>
      </c>
      <c r="AN130" s="19">
        <f t="shared" si="1011"/>
        <v>0.96</v>
      </c>
    </row>
    <row r="131" spans="2:40">
      <c r="B131" s="27">
        <f>0.5*(B130+B132)</f>
        <v>85</v>
      </c>
      <c r="C131" s="12"/>
      <c r="D131" s="12">
        <f t="shared" ref="D131" si="1257">0.5*(D130+D132)</f>
        <v>0.76</v>
      </c>
      <c r="E131" s="12">
        <f t="shared" ref="E131" si="1258">0.5*(E130+E132)</f>
        <v>0.9</v>
      </c>
      <c r="F131" s="12">
        <f t="shared" ref="F131" si="1259">0.5*(F130+F132)</f>
        <v>1</v>
      </c>
      <c r="G131" s="12">
        <f t="shared" ref="G131" si="1260">0.5*(G130+G132)</f>
        <v>1</v>
      </c>
      <c r="H131" s="12">
        <f t="shared" ref="H131" si="1261">0.5*(H130+H132)</f>
        <v>1</v>
      </c>
      <c r="I131" s="12">
        <f t="shared" ref="I131" si="1262">0.5*(I130+I132)</f>
        <v>0.81</v>
      </c>
      <c r="J131" s="12">
        <f t="shared" ref="J131" si="1263">0.5*(J130+J132)</f>
        <v>0.62</v>
      </c>
      <c r="K131" s="12">
        <f t="shared" ref="K131" si="1264">0.5*(K130+K132)</f>
        <v>0.73</v>
      </c>
      <c r="L131" s="12">
        <f t="shared" ref="L131" si="1265">0.5*(L130+L132)</f>
        <v>1</v>
      </c>
      <c r="M131" s="12">
        <f t="shared" ref="M131" si="1266">0.5*(M130+M132)</f>
        <v>0.90500000000000003</v>
      </c>
      <c r="N131" s="12">
        <f t="shared" ref="N131" si="1267">0.5*(N130+N132)</f>
        <v>0.71500000000000008</v>
      </c>
      <c r="O131" s="12">
        <f t="shared" ref="O131" si="1268">0.5*(O130+O132)</f>
        <v>0.67500000000000004</v>
      </c>
      <c r="P131" s="12">
        <f t="shared" ref="P131" si="1269">0.5*(P130+P132)</f>
        <v>0.745</v>
      </c>
      <c r="Q131" s="12">
        <f t="shared" ref="Q131" si="1270">0.5*(Q130+Q132)</f>
        <v>0.83000000000000007</v>
      </c>
      <c r="R131" s="12">
        <f t="shared" ref="R131" si="1271">0.5*(R130+R132)</f>
        <v>0.95</v>
      </c>
      <c r="S131" s="12">
        <f t="shared" ref="S131" si="1272">0.5*(S130+S132)</f>
        <v>1</v>
      </c>
      <c r="T131" s="13">
        <f t="shared" ref="T131" si="1273">0.5*(T130+T132)</f>
        <v>1</v>
      </c>
      <c r="U131" s="28"/>
      <c r="V131" s="29">
        <f t="shared" ref="V131" si="1274">0.5*(V130+V132)</f>
        <v>85</v>
      </c>
      <c r="W131" s="12"/>
      <c r="X131" s="12">
        <f t="shared" ref="X131" si="1275">0.5*(X130+X132)</f>
        <v>0.86</v>
      </c>
      <c r="Y131" s="12">
        <f t="shared" ref="Y131" si="1276">0.5*(Y130+Y132)</f>
        <v>0.71</v>
      </c>
      <c r="Z131" s="12">
        <f t="shared" ref="Z131" si="1277">0.5*(Z130+Z132)</f>
        <v>0.94</v>
      </c>
      <c r="AA131" s="12">
        <f t="shared" ref="AA131" si="1278">0.5*(AA130+AA132)</f>
        <v>1</v>
      </c>
      <c r="AB131" s="12">
        <f t="shared" ref="AB131" si="1279">0.5*(AB130+AB132)</f>
        <v>0.92</v>
      </c>
      <c r="AC131" s="12">
        <f t="shared" ref="AC131" si="1280">0.5*(AC130+AC132)</f>
        <v>0.66</v>
      </c>
      <c r="AD131" s="12">
        <f t="shared" ref="AD131" si="1281">0.5*(AD130+AD132)</f>
        <v>0.88</v>
      </c>
      <c r="AE131" s="12">
        <f t="shared" ref="AE131" si="1282">0.5*(AE130+AE132)</f>
        <v>0.95</v>
      </c>
      <c r="AF131" s="12">
        <f t="shared" ref="AF131" si="1283">0.5*(AF130+AF132)</f>
        <v>0.92</v>
      </c>
      <c r="AG131" s="12">
        <f t="shared" ref="AG131" si="1284">0.5*(AG130+AG132)</f>
        <v>0.79</v>
      </c>
      <c r="AH131" s="12">
        <f t="shared" ref="AH131" si="1285">0.5*(AH130+AH132)</f>
        <v>0.77</v>
      </c>
      <c r="AI131" s="12">
        <f t="shared" ref="AI131" si="1286">0.5*(AI130+AI132)</f>
        <v>0.91500000000000004</v>
      </c>
      <c r="AJ131" s="12">
        <f t="shared" ref="AJ131" si="1287">0.5*(AJ130+AJ132)</f>
        <v>0.90500000000000003</v>
      </c>
      <c r="AK131" s="12">
        <f t="shared" ref="AK131" si="1288">0.5*(AK130+AK132)</f>
        <v>0.78499999999999992</v>
      </c>
      <c r="AL131" s="12">
        <f t="shared" ref="AL131" si="1289">0.5*(AL130+AL132)</f>
        <v>0.82499999999999996</v>
      </c>
      <c r="AM131" s="12">
        <f t="shared" ref="AM131" si="1290">0.5*(AM130+AM132)</f>
        <v>0.97</v>
      </c>
      <c r="AN131" s="12">
        <f t="shared" ref="AN131" si="1291">0.5*(AN130+AN132)</f>
        <v>0.96</v>
      </c>
    </row>
    <row r="132" spans="2:40">
      <c r="B132" s="25">
        <v>90</v>
      </c>
      <c r="C132" s="18" t="s">
        <v>34</v>
      </c>
      <c r="D132" s="19" t="s">
        <v>91</v>
      </c>
      <c r="E132" s="19" t="s">
        <v>47</v>
      </c>
      <c r="F132" s="19" t="s">
        <v>35</v>
      </c>
      <c r="G132" s="19" t="s">
        <v>35</v>
      </c>
      <c r="H132" s="19" t="s">
        <v>35</v>
      </c>
      <c r="I132" s="19" t="s">
        <v>60</v>
      </c>
      <c r="J132" s="19" t="s">
        <v>57</v>
      </c>
      <c r="K132" s="19" t="s">
        <v>52</v>
      </c>
      <c r="L132" s="19" t="str">
        <f t="shared" si="994"/>
        <v>1,00</v>
      </c>
      <c r="M132" s="19">
        <f t="shared" si="995"/>
        <v>0.90500000000000003</v>
      </c>
      <c r="N132" s="19">
        <f t="shared" si="996"/>
        <v>0.71500000000000008</v>
      </c>
      <c r="O132" s="19">
        <f t="shared" si="997"/>
        <v>0.67500000000000004</v>
      </c>
      <c r="P132" s="19">
        <f t="shared" si="998"/>
        <v>0.745</v>
      </c>
      <c r="Q132" s="19">
        <f t="shared" si="999"/>
        <v>0.83000000000000007</v>
      </c>
      <c r="R132" s="19">
        <f t="shared" si="1000"/>
        <v>0.95</v>
      </c>
      <c r="S132" s="19">
        <f t="shared" si="1001"/>
        <v>1</v>
      </c>
      <c r="T132" s="19">
        <f t="shared" si="1002"/>
        <v>1</v>
      </c>
      <c r="V132" s="26">
        <v>90</v>
      </c>
      <c r="W132" s="18" t="s">
        <v>36</v>
      </c>
      <c r="X132" s="19" t="s">
        <v>46</v>
      </c>
      <c r="Y132" s="19" t="s">
        <v>121</v>
      </c>
      <c r="Z132" s="19" t="s">
        <v>42</v>
      </c>
      <c r="AA132" s="19" t="s">
        <v>35</v>
      </c>
      <c r="AB132" s="19" t="s">
        <v>43</v>
      </c>
      <c r="AC132" s="19" t="s">
        <v>95</v>
      </c>
      <c r="AD132" s="19" t="s">
        <v>48</v>
      </c>
      <c r="AE132" s="19" t="s">
        <v>40</v>
      </c>
      <c r="AF132" s="19" t="str">
        <f t="shared" si="1003"/>
        <v>0,92</v>
      </c>
      <c r="AG132" s="19">
        <f t="shared" si="1004"/>
        <v>0.79</v>
      </c>
      <c r="AH132" s="19">
        <f t="shared" si="1005"/>
        <v>0.77</v>
      </c>
      <c r="AI132" s="19">
        <f t="shared" si="1006"/>
        <v>0.91500000000000004</v>
      </c>
      <c r="AJ132" s="19">
        <f t="shared" si="1007"/>
        <v>0.90500000000000003</v>
      </c>
      <c r="AK132" s="19">
        <f t="shared" si="1008"/>
        <v>0.78499999999999992</v>
      </c>
      <c r="AL132" s="19">
        <f t="shared" si="1009"/>
        <v>0.82499999999999996</v>
      </c>
      <c r="AM132" s="19">
        <f t="shared" si="1010"/>
        <v>0.97</v>
      </c>
      <c r="AN132" s="19">
        <f t="shared" si="1011"/>
        <v>0.96</v>
      </c>
    </row>
    <row r="136" spans="2:40">
      <c r="C136" s="172"/>
      <c r="D136" s="172"/>
      <c r="E136" s="172"/>
      <c r="F136" s="172"/>
      <c r="G136" s="172"/>
      <c r="H136" s="172"/>
      <c r="I136" s="172"/>
      <c r="J136" s="978" t="s">
        <v>407</v>
      </c>
      <c r="K136" s="978"/>
      <c r="L136" s="978"/>
      <c r="M136" s="978"/>
      <c r="N136" s="172"/>
      <c r="O136" s="172"/>
      <c r="P136" s="172"/>
    </row>
    <row r="137" spans="2:40" ht="14.4">
      <c r="C137" s="172"/>
      <c r="D137" s="177" t="s">
        <v>410</v>
      </c>
      <c r="E137" s="178" t="s">
        <v>394</v>
      </c>
      <c r="F137" s="178" t="s">
        <v>395</v>
      </c>
      <c r="G137" s="178" t="s">
        <v>396</v>
      </c>
      <c r="H137" s="173"/>
      <c r="I137" s="173"/>
      <c r="J137" s="173"/>
      <c r="K137" s="173"/>
      <c r="L137" s="173"/>
      <c r="M137" s="173"/>
      <c r="N137" s="173"/>
      <c r="O137" s="173"/>
      <c r="P137" s="173"/>
    </row>
    <row r="138" spans="2:40" ht="14.4" customHeight="1">
      <c r="C138" s="172"/>
      <c r="D138" s="178" t="s">
        <v>397</v>
      </c>
      <c r="E138" s="174" t="s">
        <v>400</v>
      </c>
      <c r="F138" s="174" t="s">
        <v>401</v>
      </c>
      <c r="G138" s="174" t="s">
        <v>402</v>
      </c>
      <c r="H138" s="173"/>
      <c r="I138" s="974" t="s">
        <v>411</v>
      </c>
      <c r="J138" s="975"/>
      <c r="K138" s="975"/>
      <c r="L138" s="975"/>
      <c r="M138" s="976" t="s">
        <v>413</v>
      </c>
      <c r="N138" s="977"/>
      <c r="O138" s="977"/>
      <c r="P138" s="977"/>
    </row>
    <row r="139" spans="2:40" ht="14.4">
      <c r="C139" s="172"/>
      <c r="D139" s="178" t="s">
        <v>398</v>
      </c>
      <c r="E139" s="174" t="s">
        <v>401</v>
      </c>
      <c r="F139" s="178" t="s">
        <v>403</v>
      </c>
      <c r="G139" s="174" t="s">
        <v>404</v>
      </c>
      <c r="H139" s="173"/>
      <c r="I139" s="974" t="s">
        <v>412</v>
      </c>
      <c r="J139" s="975"/>
      <c r="K139" s="975"/>
      <c r="L139" s="975"/>
      <c r="M139" s="977"/>
      <c r="N139" s="977"/>
      <c r="O139" s="977"/>
      <c r="P139" s="977"/>
    </row>
    <row r="140" spans="2:40" ht="14.4">
      <c r="C140" s="172"/>
      <c r="D140" s="178" t="s">
        <v>399</v>
      </c>
      <c r="E140" s="174" t="s">
        <v>405</v>
      </c>
      <c r="F140" s="174" t="s">
        <v>404</v>
      </c>
      <c r="G140" s="174" t="s">
        <v>406</v>
      </c>
      <c r="H140" s="173"/>
      <c r="I140" s="173"/>
      <c r="J140" s="173"/>
      <c r="K140" s="173"/>
      <c r="L140" s="173"/>
      <c r="M140" s="176" t="s">
        <v>409</v>
      </c>
      <c r="N140" s="173"/>
      <c r="O140" s="173"/>
      <c r="P140" s="173"/>
    </row>
    <row r="141" spans="2:40">
      <c r="C141" s="172"/>
      <c r="D141" s="172"/>
      <c r="E141" s="172"/>
      <c r="F141" s="172"/>
      <c r="G141" s="172"/>
      <c r="H141" s="175" t="s">
        <v>408</v>
      </c>
      <c r="I141" s="175"/>
      <c r="J141" s="172"/>
      <c r="K141" s="172"/>
      <c r="L141" s="172"/>
      <c r="M141" s="172"/>
      <c r="N141" s="172"/>
      <c r="O141" s="172"/>
      <c r="P141" s="172"/>
    </row>
  </sheetData>
  <mergeCells count="30">
    <mergeCell ref="V112:V113"/>
    <mergeCell ref="W112:W113"/>
    <mergeCell ref="X112:AE112"/>
    <mergeCell ref="V87:AE87"/>
    <mergeCell ref="V88:V89"/>
    <mergeCell ref="W88:W89"/>
    <mergeCell ref="X88:AE88"/>
    <mergeCell ref="V111:AE111"/>
    <mergeCell ref="X4:AE4"/>
    <mergeCell ref="B45:U45"/>
    <mergeCell ref="B46:B47"/>
    <mergeCell ref="C46:C47"/>
    <mergeCell ref="D46:K46"/>
    <mergeCell ref="V45:AF45"/>
    <mergeCell ref="V46:V47"/>
    <mergeCell ref="W46:W47"/>
    <mergeCell ref="X46:AE46"/>
    <mergeCell ref="I138:L138"/>
    <mergeCell ref="I139:L139"/>
    <mergeCell ref="M138:P139"/>
    <mergeCell ref="J136:M136"/>
    <mergeCell ref="D4:K4"/>
    <mergeCell ref="B87:K87"/>
    <mergeCell ref="B88:B89"/>
    <mergeCell ref="C88:C89"/>
    <mergeCell ref="D88:K88"/>
    <mergeCell ref="B112:B113"/>
    <mergeCell ref="C112:C113"/>
    <mergeCell ref="D112:K112"/>
    <mergeCell ref="B111:K1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4</vt:i4>
      </vt:variant>
    </vt:vector>
  </HeadingPairs>
  <TitlesOfParts>
    <vt:vector size="9" baseType="lpstr">
      <vt:lpstr>ΥΠΟΛΟΓΙΣΜΟΙ</vt:lpstr>
      <vt:lpstr>ΑΔΙΑΦΑΝΕΙΣ</vt:lpstr>
      <vt:lpstr>ΔΙΑΦΑΝΕΙΣ</vt:lpstr>
      <vt:lpstr>sys</vt:lpstr>
      <vt:lpstr>pin</vt:lpstr>
      <vt:lpstr>ΥΠΟΛΟΓΙΣΜΟΙ!α</vt:lpstr>
      <vt:lpstr>ΥΠΟΛΟΓΙΣΜΟΙ!β</vt:lpstr>
      <vt:lpstr>ΔΤ</vt:lpstr>
      <vt:lpstr>ΔΤ1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dc:creator>
  <cp:lastModifiedBy>ioannis Zafeirakis</cp:lastModifiedBy>
  <cp:lastPrinted>2019-03-25T17:22:38Z</cp:lastPrinted>
  <dcterms:created xsi:type="dcterms:W3CDTF">2016-01-17T09:21:05Z</dcterms:created>
  <dcterms:modified xsi:type="dcterms:W3CDTF">2019-03-30T19:30:28Z</dcterms:modified>
</cp:coreProperties>
</file>