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hidePivotFieldList="1" defaultThemeVersion="124226"/>
  <bookViews>
    <workbookView xWindow="0" yWindow="36" windowWidth="20736" windowHeight="9552"/>
  </bookViews>
  <sheets>
    <sheet name="ΥΠΟΛΟΓΙΣΜΟΙ" sheetId="1" r:id="rId1"/>
    <sheet name="sys" sheetId="3" r:id="rId2"/>
    <sheet name="pin" sheetId="2" r:id="rId3"/>
  </sheets>
  <definedNames>
    <definedName name="α" localSheetId="0">sys!$B$3:$C$6</definedName>
    <definedName name="β" localSheetId="0">sys!$B$3:$C$6</definedName>
    <definedName name="ΔΤ">sys!$B$3:$D$6</definedName>
    <definedName name="ΔΤ1">sys!$B$3:$C$6</definedName>
  </definedNames>
  <calcPr calcId="125725"/>
</workbook>
</file>

<file path=xl/calcChain.xml><?xml version="1.0" encoding="utf-8"?>
<calcChain xmlns="http://schemas.openxmlformats.org/spreadsheetml/2006/main">
  <c r="N171" i="3"/>
  <c r="M171"/>
  <c r="K171"/>
  <c r="N170"/>
  <c r="M170"/>
  <c r="C16" i="1"/>
  <c r="L33"/>
  <c r="G9"/>
  <c r="N173" i="3" l="1"/>
  <c r="N176"/>
  <c r="N174"/>
  <c r="O227"/>
  <c r="Q229" s="1"/>
  <c r="H13" i="1" s="1"/>
  <c r="O226" i="3"/>
  <c r="T211"/>
  <c r="Q211"/>
  <c r="S211"/>
  <c r="O213"/>
  <c r="O212"/>
  <c r="O211"/>
  <c r="Q210" s="1"/>
  <c r="O210"/>
  <c r="O209"/>
  <c r="O206"/>
  <c r="S204" s="1"/>
  <c r="O205"/>
  <c r="O204"/>
  <c r="O203"/>
  <c r="O202"/>
  <c r="P87" i="1"/>
  <c r="P86"/>
  <c r="X46"/>
  <c r="X39"/>
  <c r="X40"/>
  <c r="X41"/>
  <c r="X42"/>
  <c r="X43"/>
  <c r="X44"/>
  <c r="X45"/>
  <c r="X47"/>
  <c r="X48"/>
  <c r="X49"/>
  <c r="X38"/>
  <c r="V39"/>
  <c r="V40"/>
  <c r="V41"/>
  <c r="V42"/>
  <c r="V43"/>
  <c r="V44"/>
  <c r="V45"/>
  <c r="V46"/>
  <c r="V47"/>
  <c r="V48"/>
  <c r="V49"/>
  <c r="V38"/>
  <c r="G19"/>
  <c r="G20"/>
  <c r="G21"/>
  <c r="G22"/>
  <c r="G23"/>
  <c r="G24"/>
  <c r="G25"/>
  <c r="G26"/>
  <c r="G27"/>
  <c r="G28"/>
  <c r="G29"/>
  <c r="G30"/>
  <c r="G31"/>
  <c r="G32"/>
  <c r="E19"/>
  <c r="E20"/>
  <c r="E21"/>
  <c r="E22"/>
  <c r="E23"/>
  <c r="E24"/>
  <c r="E25"/>
  <c r="E26"/>
  <c r="E27"/>
  <c r="E28"/>
  <c r="E29"/>
  <c r="E30"/>
  <c r="E31"/>
  <c r="E32"/>
  <c r="E18"/>
  <c r="G18" s="1"/>
  <c r="G44"/>
  <c r="G45"/>
  <c r="G46"/>
  <c r="G47"/>
  <c r="G48"/>
  <c r="G49"/>
  <c r="F39"/>
  <c r="G39" s="1"/>
  <c r="F40"/>
  <c r="G40" s="1"/>
  <c r="P13" s="1"/>
  <c r="F41"/>
  <c r="G41" s="1"/>
  <c r="R14" s="1"/>
  <c r="F42"/>
  <c r="G42" s="1"/>
  <c r="F43"/>
  <c r="G43" s="1"/>
  <c r="F44"/>
  <c r="F45"/>
  <c r="F46"/>
  <c r="F47"/>
  <c r="F48"/>
  <c r="F49"/>
  <c r="F38"/>
  <c r="G38" s="1"/>
  <c r="M50"/>
  <c r="R37" i="3"/>
  <c r="S39" s="1"/>
  <c r="R62" i="1" s="1"/>
  <c r="U41" i="3"/>
  <c r="U40"/>
  <c r="S40"/>
  <c r="S41"/>
  <c r="Q153"/>
  <c r="Q152"/>
  <c r="Q151"/>
  <c r="I161"/>
  <c r="I162"/>
  <c r="J165" s="1"/>
  <c r="I160"/>
  <c r="J164" s="1"/>
  <c r="O104"/>
  <c r="O102"/>
  <c r="O103"/>
  <c r="O101"/>
  <c r="AG39" i="1"/>
  <c r="BK39" s="1"/>
  <c r="AG40"/>
  <c r="BK40" s="1"/>
  <c r="AG41"/>
  <c r="BL41" s="1"/>
  <c r="AG44"/>
  <c r="BK44" s="1"/>
  <c r="AG45"/>
  <c r="BL45" s="1"/>
  <c r="AG46"/>
  <c r="BL46" s="1"/>
  <c r="AG47"/>
  <c r="BK47" s="1"/>
  <c r="AG48"/>
  <c r="BL48" s="1"/>
  <c r="AG49"/>
  <c r="BL49" s="1"/>
  <c r="AG38"/>
  <c r="BL38" s="1"/>
  <c r="AG19"/>
  <c r="BK19" s="1"/>
  <c r="AG20"/>
  <c r="BK20" s="1"/>
  <c r="AG21"/>
  <c r="BL21" s="1"/>
  <c r="AG22"/>
  <c r="BK22" s="1"/>
  <c r="AG23"/>
  <c r="BL23" s="1"/>
  <c r="AG24"/>
  <c r="BL24" s="1"/>
  <c r="AG25"/>
  <c r="AG26"/>
  <c r="BL26" s="1"/>
  <c r="AG27"/>
  <c r="AG28"/>
  <c r="BL28" s="1"/>
  <c r="AG29"/>
  <c r="AG30"/>
  <c r="BK30" s="1"/>
  <c r="AG31"/>
  <c r="AG32"/>
  <c r="BK32" s="1"/>
  <c r="AG18"/>
  <c r="BK18" s="1"/>
  <c r="AN39"/>
  <c r="AX39" s="1"/>
  <c r="AN40"/>
  <c r="AW40" s="1"/>
  <c r="AX40"/>
  <c r="AN41"/>
  <c r="AW41" s="1"/>
  <c r="AN42"/>
  <c r="AN43"/>
  <c r="AW43" s="1"/>
  <c r="AN44"/>
  <c r="AX44" s="1"/>
  <c r="AN45"/>
  <c r="AW45" s="1"/>
  <c r="AN46"/>
  <c r="AX46" s="1"/>
  <c r="AN47"/>
  <c r="AX47" s="1"/>
  <c r="AN48"/>
  <c r="AX48" s="1"/>
  <c r="AW48"/>
  <c r="AN49"/>
  <c r="AW49" s="1"/>
  <c r="AN38"/>
  <c r="AX38" s="1"/>
  <c r="BL44"/>
  <c r="BK45"/>
  <c r="BK49"/>
  <c r="AI39"/>
  <c r="BV39" s="1"/>
  <c r="AI40"/>
  <c r="BV40" s="1"/>
  <c r="AI41"/>
  <c r="BV41" s="1"/>
  <c r="AI42"/>
  <c r="BV42" s="1"/>
  <c r="AI43"/>
  <c r="BV43" s="1"/>
  <c r="AI44"/>
  <c r="BV44" s="1"/>
  <c r="AI45"/>
  <c r="BV45" s="1"/>
  <c r="AI46"/>
  <c r="BV46" s="1"/>
  <c r="AI47"/>
  <c r="BV47" s="1"/>
  <c r="AI48"/>
  <c r="BV48" s="1"/>
  <c r="AI49"/>
  <c r="BV49" s="1"/>
  <c r="AI38"/>
  <c r="BV38" s="1"/>
  <c r="AH39"/>
  <c r="BP39" s="1"/>
  <c r="AH40"/>
  <c r="BP40" s="1"/>
  <c r="AH41"/>
  <c r="BP41" s="1"/>
  <c r="AH42"/>
  <c r="BO42" s="1"/>
  <c r="AH43"/>
  <c r="BP43" s="1"/>
  <c r="AH44"/>
  <c r="BO44" s="1"/>
  <c r="AH45"/>
  <c r="BP45" s="1"/>
  <c r="AH46"/>
  <c r="BO46" s="1"/>
  <c r="AH47"/>
  <c r="BP47" s="1"/>
  <c r="AH48"/>
  <c r="BP48" s="1"/>
  <c r="AH49"/>
  <c r="BP49" s="1"/>
  <c r="AH38"/>
  <c r="BP38" s="1"/>
  <c r="BV29"/>
  <c r="AI19"/>
  <c r="BU19" s="1"/>
  <c r="AI20"/>
  <c r="BV20" s="1"/>
  <c r="AI21"/>
  <c r="AI22"/>
  <c r="BV22" s="1"/>
  <c r="AI23"/>
  <c r="BU23" s="1"/>
  <c r="AI24"/>
  <c r="BU24" s="1"/>
  <c r="AI25"/>
  <c r="BU25" s="1"/>
  <c r="AI26"/>
  <c r="BV26" s="1"/>
  <c r="AI27"/>
  <c r="BU27" s="1"/>
  <c r="AI28"/>
  <c r="BU28" s="1"/>
  <c r="AI29"/>
  <c r="BU29" s="1"/>
  <c r="AI30"/>
  <c r="BV30" s="1"/>
  <c r="AI31"/>
  <c r="BV31" s="1"/>
  <c r="AI32"/>
  <c r="BU32" s="1"/>
  <c r="AI18"/>
  <c r="BU18" s="1"/>
  <c r="BO23"/>
  <c r="AH19"/>
  <c r="BP19" s="1"/>
  <c r="AH20"/>
  <c r="BP20" s="1"/>
  <c r="AH21"/>
  <c r="BO21" s="1"/>
  <c r="AH22"/>
  <c r="BP22" s="1"/>
  <c r="AH23"/>
  <c r="BP23" s="1"/>
  <c r="AH24"/>
  <c r="BO24" s="1"/>
  <c r="AH25"/>
  <c r="BP25" s="1"/>
  <c r="AH26"/>
  <c r="BP26" s="1"/>
  <c r="AH27"/>
  <c r="BP27" s="1"/>
  <c r="AH28"/>
  <c r="BP28" s="1"/>
  <c r="AH29"/>
  <c r="BP29" s="1"/>
  <c r="AH30"/>
  <c r="BP30" s="1"/>
  <c r="AH31"/>
  <c r="AH32"/>
  <c r="BO32" s="1"/>
  <c r="AH18"/>
  <c r="BO18" s="1"/>
  <c r="BK21"/>
  <c r="BL22"/>
  <c r="BK23"/>
  <c r="BK25"/>
  <c r="BL25"/>
  <c r="BE26"/>
  <c r="BK27"/>
  <c r="BL27"/>
  <c r="BL29"/>
  <c r="AF19"/>
  <c r="BE19" s="1"/>
  <c r="AF20"/>
  <c r="BE20" s="1"/>
  <c r="AF21"/>
  <c r="BE21" s="1"/>
  <c r="AF22"/>
  <c r="BF22" s="1"/>
  <c r="AF23"/>
  <c r="BF23" s="1"/>
  <c r="AF24"/>
  <c r="BF24" s="1"/>
  <c r="AF25"/>
  <c r="BF25" s="1"/>
  <c r="AF26"/>
  <c r="BF26" s="1"/>
  <c r="AF27"/>
  <c r="BF27" s="1"/>
  <c r="AF28"/>
  <c r="BE28" s="1"/>
  <c r="AF29"/>
  <c r="BF29" s="1"/>
  <c r="AF30"/>
  <c r="BF30" s="1"/>
  <c r="AF31"/>
  <c r="AF32"/>
  <c r="BF32" s="1"/>
  <c r="AF18"/>
  <c r="BE18" s="1"/>
  <c r="AN19"/>
  <c r="AX19" s="1"/>
  <c r="AN20"/>
  <c r="AX20" s="1"/>
  <c r="AN21"/>
  <c r="AW21" s="1"/>
  <c r="AN22"/>
  <c r="AX22" s="1"/>
  <c r="AN23"/>
  <c r="AX23" s="1"/>
  <c r="AY23"/>
  <c r="AN24"/>
  <c r="AW24" s="1"/>
  <c r="AN25"/>
  <c r="AW25" s="1"/>
  <c r="AN26"/>
  <c r="AX26" s="1"/>
  <c r="AN27"/>
  <c r="AX27" s="1"/>
  <c r="AN28"/>
  <c r="AX28" s="1"/>
  <c r="AN29"/>
  <c r="AW29" s="1"/>
  <c r="AN30"/>
  <c r="AN31"/>
  <c r="AZ31"/>
  <c r="AN32"/>
  <c r="AW32" s="1"/>
  <c r="AE19"/>
  <c r="AY19" s="1"/>
  <c r="AE20"/>
  <c r="AZ20" s="1"/>
  <c r="AE21"/>
  <c r="AY21" s="1"/>
  <c r="AE22"/>
  <c r="AZ22" s="1"/>
  <c r="AE23"/>
  <c r="AZ23" s="1"/>
  <c r="AE24"/>
  <c r="AZ24" s="1"/>
  <c r="AE25"/>
  <c r="AY25" s="1"/>
  <c r="AE26"/>
  <c r="AZ26" s="1"/>
  <c r="AE27"/>
  <c r="AY27" s="1"/>
  <c r="AE28"/>
  <c r="AY28" s="1"/>
  <c r="AE29"/>
  <c r="AZ29" s="1"/>
  <c r="AE30"/>
  <c r="AE31"/>
  <c r="AY31" s="1"/>
  <c r="AE32"/>
  <c r="AZ32" s="1"/>
  <c r="AE18"/>
  <c r="Q174" i="3" l="1"/>
  <c r="N175" s="1"/>
  <c r="L164"/>
  <c r="J161"/>
  <c r="F13" i="1"/>
  <c r="K13" s="1"/>
  <c r="BK41"/>
  <c r="Q230" i="3"/>
  <c r="P106"/>
  <c r="R211"/>
  <c r="K87" i="1" s="1"/>
  <c r="Q203" i="3"/>
  <c r="Q204"/>
  <c r="BK48" i="1"/>
  <c r="BL39"/>
  <c r="BN39" s="1"/>
  <c r="U39" i="3"/>
  <c r="T62" i="1" s="1"/>
  <c r="U42" i="3"/>
  <c r="T65" i="1" s="1"/>
  <c r="S152" i="3"/>
  <c r="H16" i="1" s="1"/>
  <c r="J168" i="3"/>
  <c r="J166"/>
  <c r="BL30" i="1"/>
  <c r="BP32"/>
  <c r="BY29"/>
  <c r="BU20"/>
  <c r="BK46"/>
  <c r="AZ27"/>
  <c r="BD27" s="1"/>
  <c r="AX24"/>
  <c r="AY32"/>
  <c r="AZ28"/>
  <c r="AY20"/>
  <c r="BD20" s="1"/>
  <c r="BV25"/>
  <c r="BY25" s="1"/>
  <c r="BT23"/>
  <c r="BU48"/>
  <c r="BO27"/>
  <c r="BR27" s="1"/>
  <c r="BK38"/>
  <c r="AW44"/>
  <c r="AX41"/>
  <c r="AY24"/>
  <c r="BD24" s="1"/>
  <c r="AZ19"/>
  <c r="BE30"/>
  <c r="BK26"/>
  <c r="AX32"/>
  <c r="BR32" s="1"/>
  <c r="BE22"/>
  <c r="BO28"/>
  <c r="BT28" s="1"/>
  <c r="BL47"/>
  <c r="BM47" s="1"/>
  <c r="AW47"/>
  <c r="P119" i="3"/>
  <c r="P114"/>
  <c r="P118"/>
  <c r="P110"/>
  <c r="P109"/>
  <c r="P113"/>
  <c r="P117"/>
  <c r="P112"/>
  <c r="P116"/>
  <c r="P120"/>
  <c r="P111"/>
  <c r="P115"/>
  <c r="P108"/>
  <c r="P107"/>
  <c r="BD19" i="1"/>
  <c r="BD28"/>
  <c r="AX29"/>
  <c r="BB27"/>
  <c r="AY22"/>
  <c r="AW20"/>
  <c r="BY20" s="1"/>
  <c r="AM20" s="1"/>
  <c r="BB19"/>
  <c r="BC24"/>
  <c r="BD23"/>
  <c r="BF28"/>
  <c r="BH28" s="1"/>
  <c r="BE27"/>
  <c r="BE25"/>
  <c r="BE23"/>
  <c r="BF19"/>
  <c r="BO29"/>
  <c r="BO25"/>
  <c r="BO19"/>
  <c r="BS32"/>
  <c r="BU30"/>
  <c r="BU26"/>
  <c r="BU22"/>
  <c r="BV32"/>
  <c r="BZ32" s="1"/>
  <c r="BV27"/>
  <c r="BZ27" s="1"/>
  <c r="BV23"/>
  <c r="BZ23" s="1"/>
  <c r="BX29"/>
  <c r="BX20"/>
  <c r="BO49"/>
  <c r="BO47"/>
  <c r="BP46"/>
  <c r="BO45"/>
  <c r="BP44"/>
  <c r="BQ44" s="1"/>
  <c r="BU43"/>
  <c r="BW43" s="1"/>
  <c r="BU41"/>
  <c r="BO40"/>
  <c r="BO39"/>
  <c r="BU38"/>
  <c r="AZ25"/>
  <c r="BC25" s="1"/>
  <c r="AW28"/>
  <c r="BI28" s="1"/>
  <c r="BA32"/>
  <c r="BB28"/>
  <c r="AX25"/>
  <c r="BB20"/>
  <c r="BC32"/>
  <c r="BC20"/>
  <c r="BN27"/>
  <c r="BF20"/>
  <c r="BO30"/>
  <c r="BO26"/>
  <c r="BO20"/>
  <c r="BT32"/>
  <c r="BT27"/>
  <c r="BV28"/>
  <c r="BZ28" s="1"/>
  <c r="BV24"/>
  <c r="BW24" s="1"/>
  <c r="BV19"/>
  <c r="BZ19" s="1"/>
  <c r="BW29"/>
  <c r="BW25"/>
  <c r="BW20"/>
  <c r="BO48"/>
  <c r="BR48" s="1"/>
  <c r="BU46"/>
  <c r="BX46" s="1"/>
  <c r="BU44"/>
  <c r="BY44" s="1"/>
  <c r="AX49"/>
  <c r="BR49" s="1"/>
  <c r="AX45"/>
  <c r="AW39"/>
  <c r="AY26"/>
  <c r="BB23"/>
  <c r="BE32"/>
  <c r="BN26"/>
  <c r="BE24"/>
  <c r="BJ24" s="1"/>
  <c r="BO22"/>
  <c r="BQ32"/>
  <c r="BS28"/>
  <c r="BZ29"/>
  <c r="AM29" s="1"/>
  <c r="BZ20"/>
  <c r="BU49"/>
  <c r="BU47"/>
  <c r="BW47" s="1"/>
  <c r="BU45"/>
  <c r="BO43"/>
  <c r="BQ43" s="1"/>
  <c r="BO41"/>
  <c r="BT41" s="1"/>
  <c r="BU40"/>
  <c r="BZ40" s="1"/>
  <c r="BU39"/>
  <c r="BO38"/>
  <c r="BJ26"/>
  <c r="BJ22"/>
  <c r="BR28"/>
  <c r="BR23"/>
  <c r="BP24"/>
  <c r="BR24" s="1"/>
  <c r="BU42"/>
  <c r="BP42"/>
  <c r="BS42" s="1"/>
  <c r="BU21"/>
  <c r="BV21" s="1"/>
  <c r="BP21"/>
  <c r="BS21" s="1"/>
  <c r="BF21"/>
  <c r="BG21" s="1"/>
  <c r="AZ21"/>
  <c r="BA21" s="1"/>
  <c r="AX21"/>
  <c r="BI21"/>
  <c r="AX43"/>
  <c r="BX43" s="1"/>
  <c r="BM48"/>
  <c r="BL40"/>
  <c r="BN40" s="1"/>
  <c r="BL19"/>
  <c r="BN19" s="1"/>
  <c r="BH19"/>
  <c r="BJ19"/>
  <c r="BJ20"/>
  <c r="BI20"/>
  <c r="BM20"/>
  <c r="BL20"/>
  <c r="BN20"/>
  <c r="BL32"/>
  <c r="BM32" s="1"/>
  <c r="BN22"/>
  <c r="BN21"/>
  <c r="BN23"/>
  <c r="BK28"/>
  <c r="BK24"/>
  <c r="BN25"/>
  <c r="BZ48"/>
  <c r="AW46"/>
  <c r="BS46" s="1"/>
  <c r="AW42"/>
  <c r="AW38"/>
  <c r="BR39"/>
  <c r="BZ39"/>
  <c r="BZ44"/>
  <c r="BX39"/>
  <c r="BN48"/>
  <c r="BX47"/>
  <c r="BR45"/>
  <c r="BQ40"/>
  <c r="BW44"/>
  <c r="BQ48"/>
  <c r="BR41"/>
  <c r="BX41"/>
  <c r="BT45"/>
  <c r="BX45"/>
  <c r="BZ41"/>
  <c r="BN41"/>
  <c r="BY48"/>
  <c r="BW48"/>
  <c r="BN46"/>
  <c r="BR46"/>
  <c r="BT46"/>
  <c r="BZ49"/>
  <c r="BN49"/>
  <c r="BZ45"/>
  <c r="BN45"/>
  <c r="BM44"/>
  <c r="BR44"/>
  <c r="BN44"/>
  <c r="BR40"/>
  <c r="AJ40" s="1"/>
  <c r="BS40"/>
  <c r="BT49"/>
  <c r="BS44"/>
  <c r="BX48"/>
  <c r="BT48"/>
  <c r="BS47"/>
  <c r="BX44"/>
  <c r="BT44"/>
  <c r="BS43"/>
  <c r="BT40"/>
  <c r="BW39"/>
  <c r="AL39" s="1"/>
  <c r="BS49"/>
  <c r="BS48"/>
  <c r="AK48" s="1"/>
  <c r="BT39"/>
  <c r="BU31"/>
  <c r="BV18"/>
  <c r="BO31"/>
  <c r="BP18"/>
  <c r="BK29"/>
  <c r="BN29" s="1"/>
  <c r="BE29"/>
  <c r="AY29"/>
  <c r="BF18"/>
  <c r="BL18"/>
  <c r="BK31"/>
  <c r="BL31" s="1"/>
  <c r="BE31"/>
  <c r="BF31" s="1"/>
  <c r="BJ28"/>
  <c r="BG28"/>
  <c r="BM25"/>
  <c r="BG24"/>
  <c r="BM21"/>
  <c r="BG20"/>
  <c r="BH26"/>
  <c r="BH24"/>
  <c r="BH22"/>
  <c r="BH20"/>
  <c r="BI24"/>
  <c r="AY30"/>
  <c r="BB26"/>
  <c r="BA25"/>
  <c r="AW31"/>
  <c r="AW27"/>
  <c r="BA27" s="1"/>
  <c r="AW23"/>
  <c r="BA23" s="1"/>
  <c r="AW19"/>
  <c r="BA19" s="1"/>
  <c r="AW30"/>
  <c r="BI30" s="1"/>
  <c r="AW26"/>
  <c r="BI26" s="1"/>
  <c r="AW22"/>
  <c r="BA22" s="1"/>
  <c r="AY18"/>
  <c r="N19"/>
  <c r="N20"/>
  <c r="N21"/>
  <c r="N22"/>
  <c r="N23"/>
  <c r="N24"/>
  <c r="N25"/>
  <c r="N26"/>
  <c r="N27"/>
  <c r="N28"/>
  <c r="N29"/>
  <c r="N30"/>
  <c r="N31"/>
  <c r="N32"/>
  <c r="N18"/>
  <c r="AN18"/>
  <c r="AW18" s="1"/>
  <c r="Q99"/>
  <c r="E82" i="2"/>
  <c r="F82"/>
  <c r="G82"/>
  <c r="H82"/>
  <c r="I82"/>
  <c r="J82"/>
  <c r="K82"/>
  <c r="V82"/>
  <c r="X82"/>
  <c r="Y82"/>
  <c r="Z82"/>
  <c r="AA82"/>
  <c r="AB82"/>
  <c r="AC82"/>
  <c r="AD82"/>
  <c r="AE82"/>
  <c r="E78"/>
  <c r="E79" s="1"/>
  <c r="F78"/>
  <c r="F79" s="1"/>
  <c r="G78"/>
  <c r="G77" s="1"/>
  <c r="H78"/>
  <c r="I78"/>
  <c r="I79" s="1"/>
  <c r="J78"/>
  <c r="J79" s="1"/>
  <c r="K78"/>
  <c r="K77" s="1"/>
  <c r="V78"/>
  <c r="V77" s="1"/>
  <c r="X78"/>
  <c r="Y78"/>
  <c r="Z78"/>
  <c r="Z77" s="1"/>
  <c r="AA78"/>
  <c r="AB78"/>
  <c r="AC78"/>
  <c r="AD78"/>
  <c r="AD77" s="1"/>
  <c r="AE78"/>
  <c r="D82"/>
  <c r="D78"/>
  <c r="U106" i="1"/>
  <c r="K91"/>
  <c r="K92"/>
  <c r="M89"/>
  <c r="E97"/>
  <c r="K97" s="1"/>
  <c r="M97" s="1"/>
  <c r="Q97"/>
  <c r="Q98"/>
  <c r="Q96"/>
  <c r="E98"/>
  <c r="E96"/>
  <c r="E92"/>
  <c r="M92" s="1"/>
  <c r="E91"/>
  <c r="M91" s="1"/>
  <c r="G71"/>
  <c r="G10"/>
  <c r="C10"/>
  <c r="I10"/>
  <c r="N10" s="1"/>
  <c r="I64" i="3"/>
  <c r="E75" i="1"/>
  <c r="G75" s="1"/>
  <c r="E73"/>
  <c r="G73" s="1"/>
  <c r="E74"/>
  <c r="G74" s="1"/>
  <c r="E72"/>
  <c r="G72" s="1"/>
  <c r="N73"/>
  <c r="E65"/>
  <c r="G65" s="1"/>
  <c r="E66"/>
  <c r="G66" s="1"/>
  <c r="E64"/>
  <c r="G64" s="1"/>
  <c r="K19"/>
  <c r="K20"/>
  <c r="K21"/>
  <c r="K22"/>
  <c r="K23"/>
  <c r="K24"/>
  <c r="K25"/>
  <c r="K26"/>
  <c r="K27"/>
  <c r="K28"/>
  <c r="K29"/>
  <c r="K30"/>
  <c r="K31"/>
  <c r="K32"/>
  <c r="K18"/>
  <c r="N75"/>
  <c r="N74"/>
  <c r="N72"/>
  <c r="N71"/>
  <c r="N64"/>
  <c r="N65"/>
  <c r="N66"/>
  <c r="G63"/>
  <c r="N63"/>
  <c r="J51"/>
  <c r="G53" s="1"/>
  <c r="G57"/>
  <c r="T58"/>
  <c r="Q58"/>
  <c r="S58"/>
  <c r="R58"/>
  <c r="T55"/>
  <c r="T56"/>
  <c r="T57"/>
  <c r="P57"/>
  <c r="P55"/>
  <c r="P54"/>
  <c r="P53"/>
  <c r="N21" i="3"/>
  <c r="N23"/>
  <c r="N22"/>
  <c r="C55" i="1"/>
  <c r="C56"/>
  <c r="AE131" i="2"/>
  <c r="AD131"/>
  <c r="AC131"/>
  <c r="AB131"/>
  <c r="AA131"/>
  <c r="Z131"/>
  <c r="Y131"/>
  <c r="X131"/>
  <c r="V131"/>
  <c r="K131"/>
  <c r="J131"/>
  <c r="I131"/>
  <c r="H131"/>
  <c r="G131"/>
  <c r="F131"/>
  <c r="E131"/>
  <c r="D131"/>
  <c r="B131"/>
  <c r="AE129"/>
  <c r="AD129"/>
  <c r="AC129"/>
  <c r="AB129"/>
  <c r="AA129"/>
  <c r="Z129"/>
  <c r="Y129"/>
  <c r="X129"/>
  <c r="V129"/>
  <c r="K129"/>
  <c r="J129"/>
  <c r="I129"/>
  <c r="H129"/>
  <c r="G129"/>
  <c r="F129"/>
  <c r="E129"/>
  <c r="D129"/>
  <c r="B129"/>
  <c r="AE127"/>
  <c r="AD127"/>
  <c r="AC127"/>
  <c r="AB127"/>
  <c r="AA127"/>
  <c r="Z127"/>
  <c r="Y127"/>
  <c r="X127"/>
  <c r="V127"/>
  <c r="K127"/>
  <c r="J127"/>
  <c r="I127"/>
  <c r="H127"/>
  <c r="G127"/>
  <c r="F127"/>
  <c r="E127"/>
  <c r="D127"/>
  <c r="B127"/>
  <c r="AE125"/>
  <c r="AD125"/>
  <c r="AC125"/>
  <c r="AB125"/>
  <c r="AA125"/>
  <c r="Z125"/>
  <c r="Y125"/>
  <c r="X125"/>
  <c r="V125"/>
  <c r="K125"/>
  <c r="J125"/>
  <c r="I125"/>
  <c r="H125"/>
  <c r="G125"/>
  <c r="F125"/>
  <c r="E125"/>
  <c r="D125"/>
  <c r="B125"/>
  <c r="AE123"/>
  <c r="AD123"/>
  <c r="AC123"/>
  <c r="AB123"/>
  <c r="AA123"/>
  <c r="Z123"/>
  <c r="Y123"/>
  <c r="X123"/>
  <c r="V123"/>
  <c r="K123"/>
  <c r="J123"/>
  <c r="I123"/>
  <c r="H123"/>
  <c r="G123"/>
  <c r="F123"/>
  <c r="E123"/>
  <c r="D123"/>
  <c r="B123"/>
  <c r="AE121"/>
  <c r="AD121"/>
  <c r="AC121"/>
  <c r="AB121"/>
  <c r="AA121"/>
  <c r="Z121"/>
  <c r="Y121"/>
  <c r="X121"/>
  <c r="V121"/>
  <c r="K121"/>
  <c r="J121"/>
  <c r="I121"/>
  <c r="H121"/>
  <c r="G121"/>
  <c r="F121"/>
  <c r="E121"/>
  <c r="D121"/>
  <c r="B121"/>
  <c r="AE119"/>
  <c r="AD119"/>
  <c r="AC119"/>
  <c r="AB119"/>
  <c r="AA119"/>
  <c r="Z119"/>
  <c r="Y119"/>
  <c r="X119"/>
  <c r="V119"/>
  <c r="K119"/>
  <c r="J119"/>
  <c r="I119"/>
  <c r="H119"/>
  <c r="G119"/>
  <c r="F119"/>
  <c r="E119"/>
  <c r="D119"/>
  <c r="B119"/>
  <c r="AE117"/>
  <c r="AD117"/>
  <c r="AC117"/>
  <c r="AB117"/>
  <c r="AA117"/>
  <c r="Z117"/>
  <c r="Y117"/>
  <c r="X117"/>
  <c r="V117"/>
  <c r="K117"/>
  <c r="J117"/>
  <c r="I117"/>
  <c r="H117"/>
  <c r="G117"/>
  <c r="F117"/>
  <c r="E117"/>
  <c r="D117"/>
  <c r="B117"/>
  <c r="AE115"/>
  <c r="AD115"/>
  <c r="AC115"/>
  <c r="AB115"/>
  <c r="AA115"/>
  <c r="Z115"/>
  <c r="Y115"/>
  <c r="X115"/>
  <c r="V115"/>
  <c r="K115"/>
  <c r="J115"/>
  <c r="I115"/>
  <c r="H115"/>
  <c r="G115"/>
  <c r="F115"/>
  <c r="E115"/>
  <c r="D115"/>
  <c r="B115"/>
  <c r="AE107"/>
  <c r="AD107"/>
  <c r="AC107"/>
  <c r="AB107"/>
  <c r="AA107"/>
  <c r="Z107"/>
  <c r="Y107"/>
  <c r="X107"/>
  <c r="V107"/>
  <c r="K107"/>
  <c r="J107"/>
  <c r="I107"/>
  <c r="H107"/>
  <c r="G107"/>
  <c r="F107"/>
  <c r="E107"/>
  <c r="D107"/>
  <c r="B107"/>
  <c r="AE105"/>
  <c r="AD105"/>
  <c r="AC105"/>
  <c r="AB105"/>
  <c r="AA105"/>
  <c r="Z105"/>
  <c r="Y105"/>
  <c r="X105"/>
  <c r="V105"/>
  <c r="K105"/>
  <c r="J105"/>
  <c r="I105"/>
  <c r="H105"/>
  <c r="G105"/>
  <c r="F105"/>
  <c r="E105"/>
  <c r="D105"/>
  <c r="B105"/>
  <c r="AE103"/>
  <c r="AD103"/>
  <c r="AC103"/>
  <c r="AB103"/>
  <c r="AA103"/>
  <c r="Z103"/>
  <c r="Y103"/>
  <c r="X103"/>
  <c r="V103"/>
  <c r="K103"/>
  <c r="J103"/>
  <c r="I103"/>
  <c r="H103"/>
  <c r="G103"/>
  <c r="F103"/>
  <c r="E103"/>
  <c r="D103"/>
  <c r="B103"/>
  <c r="AE101"/>
  <c r="AD101"/>
  <c r="AC101"/>
  <c r="AB101"/>
  <c r="AA101"/>
  <c r="Z101"/>
  <c r="Y101"/>
  <c r="X101"/>
  <c r="V101"/>
  <c r="K101"/>
  <c r="J101"/>
  <c r="I101"/>
  <c r="H101"/>
  <c r="G101"/>
  <c r="F101"/>
  <c r="E101"/>
  <c r="D101"/>
  <c r="B101"/>
  <c r="AE99"/>
  <c r="AD99"/>
  <c r="AC99"/>
  <c r="AB99"/>
  <c r="AA99"/>
  <c r="Z99"/>
  <c r="Y99"/>
  <c r="X99"/>
  <c r="V99"/>
  <c r="K99"/>
  <c r="J99"/>
  <c r="I99"/>
  <c r="H99"/>
  <c r="G99"/>
  <c r="F99"/>
  <c r="E99"/>
  <c r="D99"/>
  <c r="B99"/>
  <c r="AE97"/>
  <c r="AD97"/>
  <c r="AC97"/>
  <c r="AB97"/>
  <c r="AA97"/>
  <c r="Z97"/>
  <c r="Y97"/>
  <c r="X97"/>
  <c r="V97"/>
  <c r="K97"/>
  <c r="J97"/>
  <c r="I97"/>
  <c r="H97"/>
  <c r="G97"/>
  <c r="F97"/>
  <c r="E97"/>
  <c r="D97"/>
  <c r="B97"/>
  <c r="AE95"/>
  <c r="AD95"/>
  <c r="AC95"/>
  <c r="AB95"/>
  <c r="AA95"/>
  <c r="Z95"/>
  <c r="Y95"/>
  <c r="X95"/>
  <c r="V95"/>
  <c r="K95"/>
  <c r="J95"/>
  <c r="I95"/>
  <c r="H95"/>
  <c r="G95"/>
  <c r="F95"/>
  <c r="E95"/>
  <c r="D95"/>
  <c r="B95"/>
  <c r="AE93"/>
  <c r="AD93"/>
  <c r="AC93"/>
  <c r="AB93"/>
  <c r="AA93"/>
  <c r="Z93"/>
  <c r="Y93"/>
  <c r="X93"/>
  <c r="V93"/>
  <c r="K93"/>
  <c r="J93"/>
  <c r="I93"/>
  <c r="H93"/>
  <c r="G93"/>
  <c r="F93"/>
  <c r="E93"/>
  <c r="D93"/>
  <c r="B93"/>
  <c r="D91"/>
  <c r="E91"/>
  <c r="F91"/>
  <c r="G91"/>
  <c r="H91"/>
  <c r="I91"/>
  <c r="J91"/>
  <c r="K91"/>
  <c r="V91"/>
  <c r="X91"/>
  <c r="Y91"/>
  <c r="Z91"/>
  <c r="AA91"/>
  <c r="AB91"/>
  <c r="AC91"/>
  <c r="AD91"/>
  <c r="AE91"/>
  <c r="B91"/>
  <c r="AE83"/>
  <c r="AD83"/>
  <c r="AC83"/>
  <c r="AB83"/>
  <c r="AA83"/>
  <c r="Z83"/>
  <c r="Y83"/>
  <c r="X83"/>
  <c r="V83"/>
  <c r="K83"/>
  <c r="J83"/>
  <c r="I83"/>
  <c r="H83"/>
  <c r="G83"/>
  <c r="F83"/>
  <c r="E83"/>
  <c r="D83"/>
  <c r="B83"/>
  <c r="AE81"/>
  <c r="AD81"/>
  <c r="AC81"/>
  <c r="AB81"/>
  <c r="AA81"/>
  <c r="Z81"/>
  <c r="Y81"/>
  <c r="X81"/>
  <c r="V81"/>
  <c r="K81"/>
  <c r="J81"/>
  <c r="I81"/>
  <c r="H81"/>
  <c r="G81"/>
  <c r="F81"/>
  <c r="E81"/>
  <c r="D81"/>
  <c r="B81"/>
  <c r="AE79"/>
  <c r="AD79"/>
  <c r="AC79"/>
  <c r="AB79"/>
  <c r="AA79"/>
  <c r="Z79"/>
  <c r="Y79"/>
  <c r="X79"/>
  <c r="K79"/>
  <c r="H79"/>
  <c r="G79"/>
  <c r="D79"/>
  <c r="B79"/>
  <c r="AE77"/>
  <c r="AC77"/>
  <c r="AB77"/>
  <c r="AA77"/>
  <c r="Y77"/>
  <c r="X77"/>
  <c r="I77"/>
  <c r="H77"/>
  <c r="E77"/>
  <c r="D77"/>
  <c r="B77"/>
  <c r="AE75"/>
  <c r="AD75"/>
  <c r="AC75"/>
  <c r="AB75"/>
  <c r="AA75"/>
  <c r="Z75"/>
  <c r="Y75"/>
  <c r="X75"/>
  <c r="V75"/>
  <c r="K75"/>
  <c r="J75"/>
  <c r="I75"/>
  <c r="H75"/>
  <c r="G75"/>
  <c r="F75"/>
  <c r="E75"/>
  <c r="D75"/>
  <c r="B75"/>
  <c r="AE73"/>
  <c r="AD73"/>
  <c r="AC73"/>
  <c r="AB73"/>
  <c r="AA73"/>
  <c r="Z73"/>
  <c r="Y73"/>
  <c r="X73"/>
  <c r="V73"/>
  <c r="K73"/>
  <c r="J73"/>
  <c r="I73"/>
  <c r="H73"/>
  <c r="G73"/>
  <c r="F73"/>
  <c r="E73"/>
  <c r="D73"/>
  <c r="B73"/>
  <c r="AE71"/>
  <c r="AD71"/>
  <c r="AC71"/>
  <c r="AB71"/>
  <c r="AA71"/>
  <c r="Z71"/>
  <c r="Y71"/>
  <c r="X71"/>
  <c r="V71"/>
  <c r="K71"/>
  <c r="J71"/>
  <c r="I71"/>
  <c r="H71"/>
  <c r="G71"/>
  <c r="F71"/>
  <c r="E71"/>
  <c r="D71"/>
  <c r="B71"/>
  <c r="AE69"/>
  <c r="AD69"/>
  <c r="AC69"/>
  <c r="AB69"/>
  <c r="AA69"/>
  <c r="Z69"/>
  <c r="Y69"/>
  <c r="X69"/>
  <c r="V69"/>
  <c r="K69"/>
  <c r="J69"/>
  <c r="I69"/>
  <c r="H69"/>
  <c r="G69"/>
  <c r="F69"/>
  <c r="E69"/>
  <c r="D69"/>
  <c r="B69"/>
  <c r="AE67"/>
  <c r="AD67"/>
  <c r="AC67"/>
  <c r="AB67"/>
  <c r="AA67"/>
  <c r="Z67"/>
  <c r="Y67"/>
  <c r="X67"/>
  <c r="V67"/>
  <c r="K67"/>
  <c r="J67"/>
  <c r="I67"/>
  <c r="H67"/>
  <c r="G67"/>
  <c r="F67"/>
  <c r="E67"/>
  <c r="D67"/>
  <c r="B67"/>
  <c r="AE65"/>
  <c r="AD65"/>
  <c r="AC65"/>
  <c r="AB65"/>
  <c r="AA65"/>
  <c r="Z65"/>
  <c r="Y65"/>
  <c r="X65"/>
  <c r="V65"/>
  <c r="K65"/>
  <c r="J65"/>
  <c r="I65"/>
  <c r="H65"/>
  <c r="G65"/>
  <c r="F65"/>
  <c r="E65"/>
  <c r="D65"/>
  <c r="B65"/>
  <c r="AE63"/>
  <c r="AD63"/>
  <c r="AC63"/>
  <c r="AB63"/>
  <c r="AA63"/>
  <c r="Z63"/>
  <c r="Y63"/>
  <c r="X63"/>
  <c r="V63"/>
  <c r="K63"/>
  <c r="J63"/>
  <c r="I63"/>
  <c r="H63"/>
  <c r="G63"/>
  <c r="F63"/>
  <c r="E63"/>
  <c r="D63"/>
  <c r="B63"/>
  <c r="AE61"/>
  <c r="AD61"/>
  <c r="AC61"/>
  <c r="AB61"/>
  <c r="AA61"/>
  <c r="Z61"/>
  <c r="Y61"/>
  <c r="X61"/>
  <c r="V61"/>
  <c r="K61"/>
  <c r="J61"/>
  <c r="I61"/>
  <c r="H61"/>
  <c r="G61"/>
  <c r="F61"/>
  <c r="E61"/>
  <c r="D61"/>
  <c r="B61"/>
  <c r="AE59"/>
  <c r="AD59"/>
  <c r="AC59"/>
  <c r="AB59"/>
  <c r="AA59"/>
  <c r="Z59"/>
  <c r="Y59"/>
  <c r="X59"/>
  <c r="V59"/>
  <c r="K59"/>
  <c r="J59"/>
  <c r="I59"/>
  <c r="H59"/>
  <c r="G59"/>
  <c r="F59"/>
  <c r="E59"/>
  <c r="D59"/>
  <c r="B59"/>
  <c r="AE57"/>
  <c r="AD57"/>
  <c r="AC57"/>
  <c r="AB57"/>
  <c r="AA57"/>
  <c r="Z57"/>
  <c r="Y57"/>
  <c r="X57"/>
  <c r="V57"/>
  <c r="K57"/>
  <c r="J57"/>
  <c r="I57"/>
  <c r="H57"/>
  <c r="G57"/>
  <c r="F57"/>
  <c r="E57"/>
  <c r="D57"/>
  <c r="B57"/>
  <c r="AE55"/>
  <c r="AD55"/>
  <c r="AC55"/>
  <c r="AB55"/>
  <c r="AA55"/>
  <c r="Z55"/>
  <c r="Y55"/>
  <c r="X55"/>
  <c r="V55"/>
  <c r="K55"/>
  <c r="J55"/>
  <c r="I55"/>
  <c r="H55"/>
  <c r="G55"/>
  <c r="F55"/>
  <c r="E55"/>
  <c r="D55"/>
  <c r="B55"/>
  <c r="AE53"/>
  <c r="AD53"/>
  <c r="AC53"/>
  <c r="AB53"/>
  <c r="AA53"/>
  <c r="Z53"/>
  <c r="Y53"/>
  <c r="X53"/>
  <c r="V53"/>
  <c r="K53"/>
  <c r="J53"/>
  <c r="I53"/>
  <c r="H53"/>
  <c r="G53"/>
  <c r="F53"/>
  <c r="E53"/>
  <c r="D53"/>
  <c r="B53"/>
  <c r="AE51"/>
  <c r="AD51"/>
  <c r="AC51"/>
  <c r="AB51"/>
  <c r="AA51"/>
  <c r="Z51"/>
  <c r="Y51"/>
  <c r="X51"/>
  <c r="V51"/>
  <c r="K51"/>
  <c r="J51"/>
  <c r="I51"/>
  <c r="H51"/>
  <c r="G51"/>
  <c r="F51"/>
  <c r="E51"/>
  <c r="D51"/>
  <c r="B51"/>
  <c r="D49"/>
  <c r="E49"/>
  <c r="F49"/>
  <c r="G49"/>
  <c r="H49"/>
  <c r="I49"/>
  <c r="J49"/>
  <c r="K49"/>
  <c r="V49"/>
  <c r="X49"/>
  <c r="Y49"/>
  <c r="Z49"/>
  <c r="AA49"/>
  <c r="AB49"/>
  <c r="AC49"/>
  <c r="AD49"/>
  <c r="AE49"/>
  <c r="D41"/>
  <c r="E41"/>
  <c r="F41"/>
  <c r="G41"/>
  <c r="H41"/>
  <c r="I41"/>
  <c r="J41"/>
  <c r="K41"/>
  <c r="V41"/>
  <c r="X41"/>
  <c r="Y41"/>
  <c r="Z41"/>
  <c r="AA41"/>
  <c r="AB41"/>
  <c r="AC41"/>
  <c r="AD41"/>
  <c r="AE41"/>
  <c r="D39"/>
  <c r="E39"/>
  <c r="F39"/>
  <c r="G39"/>
  <c r="H39"/>
  <c r="I39"/>
  <c r="J39"/>
  <c r="K39"/>
  <c r="V39"/>
  <c r="X39"/>
  <c r="Y39"/>
  <c r="Z39"/>
  <c r="AA39"/>
  <c r="AB39"/>
  <c r="AC39"/>
  <c r="AD39"/>
  <c r="AE39"/>
  <c r="D37"/>
  <c r="E37"/>
  <c r="F37"/>
  <c r="G37"/>
  <c r="H37"/>
  <c r="I37"/>
  <c r="J37"/>
  <c r="K37"/>
  <c r="V37"/>
  <c r="X37"/>
  <c r="Y37"/>
  <c r="Z37"/>
  <c r="AA37"/>
  <c r="AB37"/>
  <c r="AC37"/>
  <c r="AD37"/>
  <c r="AE37"/>
  <c r="D35"/>
  <c r="E35"/>
  <c r="F35"/>
  <c r="G35"/>
  <c r="H35"/>
  <c r="I35"/>
  <c r="J35"/>
  <c r="K35"/>
  <c r="V35"/>
  <c r="X35"/>
  <c r="Y35"/>
  <c r="Z35"/>
  <c r="AA35"/>
  <c r="AB35"/>
  <c r="AC35"/>
  <c r="AD35"/>
  <c r="AE35"/>
  <c r="D33"/>
  <c r="E33"/>
  <c r="F33"/>
  <c r="G33"/>
  <c r="H33"/>
  <c r="I33"/>
  <c r="J33"/>
  <c r="K33"/>
  <c r="V33"/>
  <c r="X33"/>
  <c r="Y33"/>
  <c r="Z33"/>
  <c r="AA33"/>
  <c r="AB33"/>
  <c r="AC33"/>
  <c r="AD33"/>
  <c r="AE33"/>
  <c r="D31"/>
  <c r="E31"/>
  <c r="F31"/>
  <c r="G31"/>
  <c r="H31"/>
  <c r="I31"/>
  <c r="J31"/>
  <c r="K31"/>
  <c r="V31"/>
  <c r="X31"/>
  <c r="Y31"/>
  <c r="Z31"/>
  <c r="AA31"/>
  <c r="AB31"/>
  <c r="AC31"/>
  <c r="AD31"/>
  <c r="AE31"/>
  <c r="D29"/>
  <c r="E29"/>
  <c r="F29"/>
  <c r="G29"/>
  <c r="H29"/>
  <c r="I29"/>
  <c r="J29"/>
  <c r="K29"/>
  <c r="V29"/>
  <c r="X29"/>
  <c r="Y29"/>
  <c r="Z29"/>
  <c r="AA29"/>
  <c r="AB29"/>
  <c r="AC29"/>
  <c r="AD29"/>
  <c r="AE29"/>
  <c r="D27"/>
  <c r="E27"/>
  <c r="F27"/>
  <c r="G27"/>
  <c r="H27"/>
  <c r="I27"/>
  <c r="J27"/>
  <c r="K27"/>
  <c r="V27"/>
  <c r="X27"/>
  <c r="Y27"/>
  <c r="Z27"/>
  <c r="AA27"/>
  <c r="AB27"/>
  <c r="AC27"/>
  <c r="AD27"/>
  <c r="AE27"/>
  <c r="D25"/>
  <c r="E25"/>
  <c r="F25"/>
  <c r="G25"/>
  <c r="H25"/>
  <c r="I25"/>
  <c r="J25"/>
  <c r="K25"/>
  <c r="V25"/>
  <c r="X25"/>
  <c r="Y25"/>
  <c r="Z25"/>
  <c r="AA25"/>
  <c r="AB25"/>
  <c r="AC25"/>
  <c r="AD25"/>
  <c r="AE25"/>
  <c r="D23"/>
  <c r="E23"/>
  <c r="F23"/>
  <c r="G23"/>
  <c r="H23"/>
  <c r="I23"/>
  <c r="J23"/>
  <c r="K23"/>
  <c r="V23"/>
  <c r="X23"/>
  <c r="Y23"/>
  <c r="Z23"/>
  <c r="AA23"/>
  <c r="AB23"/>
  <c r="AC23"/>
  <c r="AD23"/>
  <c r="AE23"/>
  <c r="D21"/>
  <c r="E21"/>
  <c r="F21"/>
  <c r="G21"/>
  <c r="H21"/>
  <c r="I21"/>
  <c r="J21"/>
  <c r="K21"/>
  <c r="V21"/>
  <c r="X21"/>
  <c r="Y21"/>
  <c r="Z21"/>
  <c r="AA21"/>
  <c r="AB21"/>
  <c r="AC21"/>
  <c r="AD21"/>
  <c r="AE21"/>
  <c r="D19"/>
  <c r="E19"/>
  <c r="F19"/>
  <c r="G19"/>
  <c r="H19"/>
  <c r="I19"/>
  <c r="J19"/>
  <c r="K19"/>
  <c r="V19"/>
  <c r="X19"/>
  <c r="Y19"/>
  <c r="Z19"/>
  <c r="AA19"/>
  <c r="AB19"/>
  <c r="AC19"/>
  <c r="AD19"/>
  <c r="AE19"/>
  <c r="D17"/>
  <c r="E17"/>
  <c r="F17"/>
  <c r="G17"/>
  <c r="H17"/>
  <c r="I17"/>
  <c r="J17"/>
  <c r="K17"/>
  <c r="V17"/>
  <c r="X17"/>
  <c r="Y17"/>
  <c r="Z17"/>
  <c r="AA17"/>
  <c r="AB17"/>
  <c r="AC17"/>
  <c r="AD17"/>
  <c r="AE17"/>
  <c r="D15"/>
  <c r="E15"/>
  <c r="F15"/>
  <c r="G15"/>
  <c r="H15"/>
  <c r="I15"/>
  <c r="J15"/>
  <c r="K15"/>
  <c r="V15"/>
  <c r="X15"/>
  <c r="Y15"/>
  <c r="Z15"/>
  <c r="AA15"/>
  <c r="AB15"/>
  <c r="AC15"/>
  <c r="AD15"/>
  <c r="AE15"/>
  <c r="D13"/>
  <c r="E13"/>
  <c r="F13"/>
  <c r="G13"/>
  <c r="H13"/>
  <c r="I13"/>
  <c r="J13"/>
  <c r="K13"/>
  <c r="V13"/>
  <c r="X13"/>
  <c r="Y13"/>
  <c r="Z13"/>
  <c r="AA13"/>
  <c r="AB13"/>
  <c r="AC13"/>
  <c r="AD13"/>
  <c r="AE13"/>
  <c r="D11"/>
  <c r="E11"/>
  <c r="F11"/>
  <c r="G11"/>
  <c r="H11"/>
  <c r="I11"/>
  <c r="J11"/>
  <c r="K11"/>
  <c r="V11"/>
  <c r="X11"/>
  <c r="Y11"/>
  <c r="Z11"/>
  <c r="AA11"/>
  <c r="AB11"/>
  <c r="AC11"/>
  <c r="AD11"/>
  <c r="AE11"/>
  <c r="D9"/>
  <c r="E9"/>
  <c r="F9"/>
  <c r="G9"/>
  <c r="H9"/>
  <c r="I9"/>
  <c r="J9"/>
  <c r="K9"/>
  <c r="V9"/>
  <c r="X9"/>
  <c r="Y9"/>
  <c r="Z9"/>
  <c r="AA9"/>
  <c r="AB9"/>
  <c r="AC9"/>
  <c r="AD9"/>
  <c r="AE9"/>
  <c r="D7"/>
  <c r="E7"/>
  <c r="F7"/>
  <c r="G7"/>
  <c r="H7"/>
  <c r="I7"/>
  <c r="J7"/>
  <c r="K7"/>
  <c r="V7"/>
  <c r="X7"/>
  <c r="Y7"/>
  <c r="Z7"/>
  <c r="AA7"/>
  <c r="AB7"/>
  <c r="AC7"/>
  <c r="AD7"/>
  <c r="AE7"/>
  <c r="B49"/>
  <c r="B41"/>
  <c r="B39"/>
  <c r="B37"/>
  <c r="B35"/>
  <c r="B33"/>
  <c r="B31"/>
  <c r="B29"/>
  <c r="B27"/>
  <c r="B25"/>
  <c r="B23"/>
  <c r="B21"/>
  <c r="B19"/>
  <c r="B17"/>
  <c r="B15"/>
  <c r="B13"/>
  <c r="B11"/>
  <c r="B9"/>
  <c r="B7"/>
  <c r="AF92"/>
  <c r="AG92"/>
  <c r="AG93" s="1"/>
  <c r="AH92"/>
  <c r="AI92"/>
  <c r="AI93" s="1"/>
  <c r="AJ92"/>
  <c r="AK92"/>
  <c r="AK93" s="1"/>
  <c r="AL92"/>
  <c r="AM92"/>
  <c r="AM93" s="1"/>
  <c r="AN92"/>
  <c r="AF94"/>
  <c r="AF95" s="1"/>
  <c r="AG94"/>
  <c r="AG95" s="1"/>
  <c r="AH94"/>
  <c r="AH95" s="1"/>
  <c r="AI94"/>
  <c r="AI95" s="1"/>
  <c r="AJ94"/>
  <c r="AJ95" s="1"/>
  <c r="AK94"/>
  <c r="AK95" s="1"/>
  <c r="AL94"/>
  <c r="AL95" s="1"/>
  <c r="AM94"/>
  <c r="AM95" s="1"/>
  <c r="AN94"/>
  <c r="AN95" s="1"/>
  <c r="AF96"/>
  <c r="AG96"/>
  <c r="AG97" s="1"/>
  <c r="AH96"/>
  <c r="AI96"/>
  <c r="AI97" s="1"/>
  <c r="AJ96"/>
  <c r="AK96"/>
  <c r="AK97" s="1"/>
  <c r="AL96"/>
  <c r="AM96"/>
  <c r="AM97" s="1"/>
  <c r="AN96"/>
  <c r="AF98"/>
  <c r="AF99" s="1"/>
  <c r="AG98"/>
  <c r="AG99" s="1"/>
  <c r="AH98"/>
  <c r="AH99" s="1"/>
  <c r="AI98"/>
  <c r="AI99" s="1"/>
  <c r="AJ98"/>
  <c r="AJ99" s="1"/>
  <c r="AK98"/>
  <c r="AK99" s="1"/>
  <c r="AL98"/>
  <c r="AL99" s="1"/>
  <c r="AM98"/>
  <c r="AM99" s="1"/>
  <c r="AN98"/>
  <c r="AN99" s="1"/>
  <c r="AF100"/>
  <c r="AG100"/>
  <c r="AG101" s="1"/>
  <c r="AH100"/>
  <c r="AI100"/>
  <c r="AI101" s="1"/>
  <c r="AJ100"/>
  <c r="AK100"/>
  <c r="AK101" s="1"/>
  <c r="AL100"/>
  <c r="AM100"/>
  <c r="AM101" s="1"/>
  <c r="AN100"/>
  <c r="AF102"/>
  <c r="AF103" s="1"/>
  <c r="AG102"/>
  <c r="AG103" s="1"/>
  <c r="AH102"/>
  <c r="AH103" s="1"/>
  <c r="AI102"/>
  <c r="AI103" s="1"/>
  <c r="AJ102"/>
  <c r="AJ103" s="1"/>
  <c r="AK102"/>
  <c r="AK103" s="1"/>
  <c r="AL102"/>
  <c r="AL103" s="1"/>
  <c r="AM102"/>
  <c r="AM103" s="1"/>
  <c r="AN102"/>
  <c r="AN103" s="1"/>
  <c r="AF104"/>
  <c r="AG104"/>
  <c r="AG105" s="1"/>
  <c r="AH104"/>
  <c r="AI104"/>
  <c r="AI105" s="1"/>
  <c r="AJ104"/>
  <c r="AK104"/>
  <c r="AK105" s="1"/>
  <c r="AL104"/>
  <c r="AM104"/>
  <c r="AM105" s="1"/>
  <c r="AN104"/>
  <c r="AF106"/>
  <c r="AF107" s="1"/>
  <c r="AG106"/>
  <c r="AH106"/>
  <c r="AH107" s="1"/>
  <c r="AI106"/>
  <c r="AJ106"/>
  <c r="AJ107" s="1"/>
  <c r="AK106"/>
  <c r="AL106"/>
  <c r="AL107" s="1"/>
  <c r="AM106"/>
  <c r="AN106"/>
  <c r="AN107" s="1"/>
  <c r="AF108"/>
  <c r="AG108"/>
  <c r="AH108"/>
  <c r="AI108"/>
  <c r="AJ108"/>
  <c r="AK108"/>
  <c r="AL108"/>
  <c r="AM108"/>
  <c r="AN108"/>
  <c r="AF116"/>
  <c r="AF117" s="1"/>
  <c r="AG116"/>
  <c r="AH116"/>
  <c r="AH117" s="1"/>
  <c r="AI116"/>
  <c r="AJ116"/>
  <c r="AJ117" s="1"/>
  <c r="AK116"/>
  <c r="AL116"/>
  <c r="AL117" s="1"/>
  <c r="AM116"/>
  <c r="AN116"/>
  <c r="AF118"/>
  <c r="AG118"/>
  <c r="AH118"/>
  <c r="AI118"/>
  <c r="AJ118"/>
  <c r="AK118"/>
  <c r="AL118"/>
  <c r="AM118"/>
  <c r="AF120"/>
  <c r="AG120"/>
  <c r="AG121" s="1"/>
  <c r="AH120"/>
  <c r="AI120"/>
  <c r="AI121" s="1"/>
  <c r="AJ120"/>
  <c r="AK120"/>
  <c r="AK121" s="1"/>
  <c r="AL120"/>
  <c r="AM120"/>
  <c r="AM121" s="1"/>
  <c r="AN120"/>
  <c r="AF122"/>
  <c r="AF123" s="1"/>
  <c r="AG122"/>
  <c r="AH122"/>
  <c r="AH123" s="1"/>
  <c r="AI122"/>
  <c r="AJ122"/>
  <c r="AJ123" s="1"/>
  <c r="AK122"/>
  <c r="AL122"/>
  <c r="AL123" s="1"/>
  <c r="AM122"/>
  <c r="AN122"/>
  <c r="AN123" s="1"/>
  <c r="AF124"/>
  <c r="AG124"/>
  <c r="AG125" s="1"/>
  <c r="AH124"/>
  <c r="AI124"/>
  <c r="AI125" s="1"/>
  <c r="AJ124"/>
  <c r="AK124"/>
  <c r="AK125" s="1"/>
  <c r="AL124"/>
  <c r="AM124"/>
  <c r="AM125" s="1"/>
  <c r="AN124"/>
  <c r="AF126"/>
  <c r="AF127" s="1"/>
  <c r="AG126"/>
  <c r="AH126"/>
  <c r="AH127" s="1"/>
  <c r="AI126"/>
  <c r="AJ126"/>
  <c r="AJ127" s="1"/>
  <c r="AK126"/>
  <c r="AL126"/>
  <c r="AL127" s="1"/>
  <c r="AM126"/>
  <c r="AN126"/>
  <c r="AN127" s="1"/>
  <c r="AF128"/>
  <c r="AG128"/>
  <c r="AG129" s="1"/>
  <c r="AH128"/>
  <c r="AI128"/>
  <c r="AI129" s="1"/>
  <c r="AJ128"/>
  <c r="AK128"/>
  <c r="AK129" s="1"/>
  <c r="AL128"/>
  <c r="AM128"/>
  <c r="AM129" s="1"/>
  <c r="AN128"/>
  <c r="AF130"/>
  <c r="AF131" s="1"/>
  <c r="AG130"/>
  <c r="AH130"/>
  <c r="AH131" s="1"/>
  <c r="AI130"/>
  <c r="AJ130"/>
  <c r="AJ131" s="1"/>
  <c r="AK130"/>
  <c r="AL130"/>
  <c r="AL131" s="1"/>
  <c r="AM130"/>
  <c r="AN130"/>
  <c r="AN131" s="1"/>
  <c r="AF132"/>
  <c r="AG132"/>
  <c r="AH132"/>
  <c r="AI132"/>
  <c r="AJ132"/>
  <c r="AK132"/>
  <c r="AL132"/>
  <c r="AM132"/>
  <c r="AN132"/>
  <c r="L116"/>
  <c r="L117" s="1"/>
  <c r="M116"/>
  <c r="N116"/>
  <c r="N117" s="1"/>
  <c r="O116"/>
  <c r="P116"/>
  <c r="P117" s="1"/>
  <c r="Q116"/>
  <c r="R116"/>
  <c r="R117" s="1"/>
  <c r="S116"/>
  <c r="T116"/>
  <c r="T117" s="1"/>
  <c r="L118"/>
  <c r="M118"/>
  <c r="M119" s="1"/>
  <c r="N118"/>
  <c r="O118"/>
  <c r="O119" s="1"/>
  <c r="P118"/>
  <c r="Q118"/>
  <c r="Q119" s="1"/>
  <c r="R118"/>
  <c r="S118"/>
  <c r="S119" s="1"/>
  <c r="T118"/>
  <c r="L120"/>
  <c r="L121" s="1"/>
  <c r="M120"/>
  <c r="N120"/>
  <c r="N121" s="1"/>
  <c r="O120"/>
  <c r="P120"/>
  <c r="P121" s="1"/>
  <c r="Q120"/>
  <c r="R120"/>
  <c r="R121" s="1"/>
  <c r="S120"/>
  <c r="T120"/>
  <c r="T121" s="1"/>
  <c r="L122"/>
  <c r="M122"/>
  <c r="M123" s="1"/>
  <c r="N122"/>
  <c r="O122"/>
  <c r="O123" s="1"/>
  <c r="P122"/>
  <c r="Q122"/>
  <c r="Q123" s="1"/>
  <c r="R122"/>
  <c r="S122"/>
  <c r="S123" s="1"/>
  <c r="T122"/>
  <c r="L124"/>
  <c r="L125" s="1"/>
  <c r="M124"/>
  <c r="N124"/>
  <c r="N125" s="1"/>
  <c r="O124"/>
  <c r="P124"/>
  <c r="P125" s="1"/>
  <c r="Q124"/>
  <c r="R124"/>
  <c r="R125" s="1"/>
  <c r="S124"/>
  <c r="T124"/>
  <c r="L126"/>
  <c r="M126"/>
  <c r="N126"/>
  <c r="O126"/>
  <c r="P126"/>
  <c r="Q126"/>
  <c r="R126"/>
  <c r="S126"/>
  <c r="L128"/>
  <c r="M128"/>
  <c r="M129" s="1"/>
  <c r="N128"/>
  <c r="O128"/>
  <c r="O129" s="1"/>
  <c r="P128"/>
  <c r="Q128"/>
  <c r="Q129" s="1"/>
  <c r="R128"/>
  <c r="S128"/>
  <c r="S129" s="1"/>
  <c r="T128"/>
  <c r="L130"/>
  <c r="L131" s="1"/>
  <c r="M130"/>
  <c r="N130"/>
  <c r="N131" s="1"/>
  <c r="O130"/>
  <c r="P130"/>
  <c r="P131" s="1"/>
  <c r="Q130"/>
  <c r="R130"/>
  <c r="R131" s="1"/>
  <c r="S130"/>
  <c r="T130"/>
  <c r="T131" s="1"/>
  <c r="L132"/>
  <c r="M132"/>
  <c r="N132"/>
  <c r="O132"/>
  <c r="P132"/>
  <c r="Q132"/>
  <c r="R132"/>
  <c r="S132"/>
  <c r="T132"/>
  <c r="AM114"/>
  <c r="AM115" s="1"/>
  <c r="AL114"/>
  <c r="AK114"/>
  <c r="AK115" s="1"/>
  <c r="AJ114"/>
  <c r="AI114"/>
  <c r="AI115" s="1"/>
  <c r="AH114"/>
  <c r="AG114"/>
  <c r="AG115" s="1"/>
  <c r="AF114"/>
  <c r="AN113"/>
  <c r="AM113"/>
  <c r="AL113"/>
  <c r="AK113"/>
  <c r="AJ113"/>
  <c r="AI113"/>
  <c r="AH113"/>
  <c r="AG113"/>
  <c r="AM90"/>
  <c r="AM91" s="1"/>
  <c r="AL90"/>
  <c r="AL91" s="1"/>
  <c r="AK90"/>
  <c r="AK91" s="1"/>
  <c r="AJ90"/>
  <c r="AJ91" s="1"/>
  <c r="AI90"/>
  <c r="AI91" s="1"/>
  <c r="AH90"/>
  <c r="AH91" s="1"/>
  <c r="AG90"/>
  <c r="AG91" s="1"/>
  <c r="AF90"/>
  <c r="AN89"/>
  <c r="AM89"/>
  <c r="AL89"/>
  <c r="AK89"/>
  <c r="AJ89"/>
  <c r="AI89"/>
  <c r="AH89"/>
  <c r="AG89"/>
  <c r="S114"/>
  <c r="S115" s="1"/>
  <c r="R114"/>
  <c r="Q114"/>
  <c r="Q115" s="1"/>
  <c r="P114"/>
  <c r="O114"/>
  <c r="O115" s="1"/>
  <c r="N114"/>
  <c r="M114"/>
  <c r="M115" s="1"/>
  <c r="L114"/>
  <c r="T113"/>
  <c r="S113"/>
  <c r="R113"/>
  <c r="Q113"/>
  <c r="P113"/>
  <c r="O113"/>
  <c r="N113"/>
  <c r="M113"/>
  <c r="N102"/>
  <c r="N103" s="1"/>
  <c r="L92"/>
  <c r="M92"/>
  <c r="M93" s="1"/>
  <c r="N92"/>
  <c r="O92"/>
  <c r="O93" s="1"/>
  <c r="P92"/>
  <c r="Q92"/>
  <c r="Q93" s="1"/>
  <c r="R92"/>
  <c r="S92"/>
  <c r="S93" s="1"/>
  <c r="T92"/>
  <c r="L94"/>
  <c r="L95" s="1"/>
  <c r="M94"/>
  <c r="N94"/>
  <c r="N95" s="1"/>
  <c r="O94"/>
  <c r="P94"/>
  <c r="P95" s="1"/>
  <c r="Q94"/>
  <c r="R94"/>
  <c r="R95" s="1"/>
  <c r="S94"/>
  <c r="T94"/>
  <c r="T95" s="1"/>
  <c r="L96"/>
  <c r="M96"/>
  <c r="M97" s="1"/>
  <c r="N96"/>
  <c r="O96"/>
  <c r="O97" s="1"/>
  <c r="P96"/>
  <c r="Q96"/>
  <c r="Q97" s="1"/>
  <c r="R96"/>
  <c r="S96"/>
  <c r="S97" s="1"/>
  <c r="T96"/>
  <c r="L98"/>
  <c r="L99" s="1"/>
  <c r="M98"/>
  <c r="N98"/>
  <c r="N99" s="1"/>
  <c r="O98"/>
  <c r="P98"/>
  <c r="P99" s="1"/>
  <c r="Q98"/>
  <c r="R98"/>
  <c r="R99" s="1"/>
  <c r="S98"/>
  <c r="T98"/>
  <c r="T99" s="1"/>
  <c r="L100"/>
  <c r="M100"/>
  <c r="M101" s="1"/>
  <c r="N100"/>
  <c r="O100"/>
  <c r="P100"/>
  <c r="Q100"/>
  <c r="R100"/>
  <c r="S100"/>
  <c r="T100"/>
  <c r="L102"/>
  <c r="M102"/>
  <c r="O102"/>
  <c r="P102"/>
  <c r="Q102"/>
  <c r="R102"/>
  <c r="S102"/>
  <c r="L104"/>
  <c r="M104"/>
  <c r="M105" s="1"/>
  <c r="N104"/>
  <c r="O104"/>
  <c r="O105" s="1"/>
  <c r="P104"/>
  <c r="Q104"/>
  <c r="Q105" s="1"/>
  <c r="R104"/>
  <c r="S104"/>
  <c r="S105" s="1"/>
  <c r="T104"/>
  <c r="L106"/>
  <c r="L107" s="1"/>
  <c r="M106"/>
  <c r="N106"/>
  <c r="N107" s="1"/>
  <c r="O106"/>
  <c r="P106"/>
  <c r="P107" s="1"/>
  <c r="Q106"/>
  <c r="R106"/>
  <c r="R107" s="1"/>
  <c r="S106"/>
  <c r="T106"/>
  <c r="T107" s="1"/>
  <c r="L108"/>
  <c r="T108" s="1"/>
  <c r="M108"/>
  <c r="N108"/>
  <c r="O108"/>
  <c r="P108"/>
  <c r="Q108"/>
  <c r="R108"/>
  <c r="S108"/>
  <c r="M90"/>
  <c r="N90"/>
  <c r="N91" s="1"/>
  <c r="O90"/>
  <c r="P90"/>
  <c r="P91" s="1"/>
  <c r="Q90"/>
  <c r="R90"/>
  <c r="R91" s="1"/>
  <c r="S90"/>
  <c r="T89"/>
  <c r="S89"/>
  <c r="R89"/>
  <c r="Q89"/>
  <c r="P89"/>
  <c r="O89"/>
  <c r="N89"/>
  <c r="M89"/>
  <c r="L90"/>
  <c r="AF50"/>
  <c r="AG50"/>
  <c r="AG51" s="1"/>
  <c r="AH50"/>
  <c r="AI50"/>
  <c r="AI51" s="1"/>
  <c r="AJ50"/>
  <c r="AK50"/>
  <c r="AK51" s="1"/>
  <c r="AL50"/>
  <c r="AM50"/>
  <c r="AM51" s="1"/>
  <c r="AN50"/>
  <c r="AF52"/>
  <c r="AF53" s="1"/>
  <c r="AG52"/>
  <c r="AH52"/>
  <c r="AH53" s="1"/>
  <c r="AI52"/>
  <c r="AJ52"/>
  <c r="AJ53" s="1"/>
  <c r="AK52"/>
  <c r="AL52"/>
  <c r="AL53" s="1"/>
  <c r="AM52"/>
  <c r="AN52"/>
  <c r="AN53" s="1"/>
  <c r="AF54"/>
  <c r="AG54"/>
  <c r="AG55" s="1"/>
  <c r="AH54"/>
  <c r="AI54"/>
  <c r="AI55" s="1"/>
  <c r="AJ54"/>
  <c r="AK54"/>
  <c r="AK55" s="1"/>
  <c r="AL54"/>
  <c r="AM54"/>
  <c r="AM55" s="1"/>
  <c r="AN54"/>
  <c r="AF56"/>
  <c r="AF57" s="1"/>
  <c r="AG56"/>
  <c r="AH56"/>
  <c r="AH57" s="1"/>
  <c r="AI56"/>
  <c r="AJ56"/>
  <c r="AJ57" s="1"/>
  <c r="AK56"/>
  <c r="AL56"/>
  <c r="AL57" s="1"/>
  <c r="AM56"/>
  <c r="AN56"/>
  <c r="AN57" s="1"/>
  <c r="AF58"/>
  <c r="AG58"/>
  <c r="AG59" s="1"/>
  <c r="AH58"/>
  <c r="AI58"/>
  <c r="AI59" s="1"/>
  <c r="AJ58"/>
  <c r="AK58"/>
  <c r="AK59" s="1"/>
  <c r="AL58"/>
  <c r="AM58"/>
  <c r="AM59" s="1"/>
  <c r="AN58"/>
  <c r="AF60"/>
  <c r="AN60" s="1"/>
  <c r="AG60"/>
  <c r="AH60"/>
  <c r="AI60"/>
  <c r="AJ60"/>
  <c r="AK60"/>
  <c r="AL60"/>
  <c r="AM60"/>
  <c r="AF62"/>
  <c r="AF63" s="1"/>
  <c r="AG62"/>
  <c r="AH62"/>
  <c r="AH63" s="1"/>
  <c r="AI62"/>
  <c r="AJ62"/>
  <c r="AJ63" s="1"/>
  <c r="AK62"/>
  <c r="AL62"/>
  <c r="AL63" s="1"/>
  <c r="AM62"/>
  <c r="AN62"/>
  <c r="AN63" s="1"/>
  <c r="AF64"/>
  <c r="AG64"/>
  <c r="AG65" s="1"/>
  <c r="AH64"/>
  <c r="AI64"/>
  <c r="AI65" s="1"/>
  <c r="AJ64"/>
  <c r="AK64"/>
  <c r="AK65" s="1"/>
  <c r="AL64"/>
  <c r="AM64"/>
  <c r="AM65" s="1"/>
  <c r="AN64"/>
  <c r="AF66"/>
  <c r="AF67" s="1"/>
  <c r="AG66"/>
  <c r="AH66"/>
  <c r="AH67" s="1"/>
  <c r="AI66"/>
  <c r="AJ66"/>
  <c r="AJ67" s="1"/>
  <c r="AK66"/>
  <c r="AL66"/>
  <c r="AL67" s="1"/>
  <c r="AM66"/>
  <c r="AN66"/>
  <c r="AN67" s="1"/>
  <c r="AF68"/>
  <c r="AN68" s="1"/>
  <c r="AG68"/>
  <c r="AH68"/>
  <c r="AI68"/>
  <c r="AJ68"/>
  <c r="AK68"/>
  <c r="AL68"/>
  <c r="AM68"/>
  <c r="AF70"/>
  <c r="AG70"/>
  <c r="AG71" s="1"/>
  <c r="AH70"/>
  <c r="AI70"/>
  <c r="AI71" s="1"/>
  <c r="AJ70"/>
  <c r="AK70"/>
  <c r="AK71" s="1"/>
  <c r="AL70"/>
  <c r="AM70"/>
  <c r="AM71" s="1"/>
  <c r="AN70"/>
  <c r="AF72"/>
  <c r="AF73" s="1"/>
  <c r="AG72"/>
  <c r="AH72"/>
  <c r="AH73" s="1"/>
  <c r="AI72"/>
  <c r="AJ72"/>
  <c r="AJ73" s="1"/>
  <c r="AK72"/>
  <c r="AL72"/>
  <c r="AL73" s="1"/>
  <c r="AM72"/>
  <c r="AN72"/>
  <c r="AN73" s="1"/>
  <c r="AF74"/>
  <c r="AG74"/>
  <c r="AG75" s="1"/>
  <c r="AH74"/>
  <c r="AI74"/>
  <c r="AI75" s="1"/>
  <c r="AJ74"/>
  <c r="AK74"/>
  <c r="AK75" s="1"/>
  <c r="AL74"/>
  <c r="AM74"/>
  <c r="AM75" s="1"/>
  <c r="AN74"/>
  <c r="AF76"/>
  <c r="AG76"/>
  <c r="AH76"/>
  <c r="AI76"/>
  <c r="AJ76"/>
  <c r="AK76"/>
  <c r="AL76"/>
  <c r="AM76"/>
  <c r="AF80"/>
  <c r="AG80"/>
  <c r="AH80"/>
  <c r="AI80"/>
  <c r="AJ80"/>
  <c r="AK80"/>
  <c r="AL80"/>
  <c r="AM80"/>
  <c r="AN80"/>
  <c r="AF84"/>
  <c r="AG84"/>
  <c r="AH84"/>
  <c r="AI84"/>
  <c r="AJ84"/>
  <c r="AK84"/>
  <c r="AL84"/>
  <c r="AM84"/>
  <c r="AN84"/>
  <c r="AF8"/>
  <c r="AF9" s="1"/>
  <c r="AG8"/>
  <c r="AH8"/>
  <c r="AH9" s="1"/>
  <c r="AI8"/>
  <c r="AJ8"/>
  <c r="AJ9" s="1"/>
  <c r="AK8"/>
  <c r="AL8"/>
  <c r="AL9" s="1"/>
  <c r="AM8"/>
  <c r="AN8"/>
  <c r="AN9" s="1"/>
  <c r="AF10"/>
  <c r="AG10"/>
  <c r="AG11" s="1"/>
  <c r="AH10"/>
  <c r="AI10"/>
  <c r="AI11" s="1"/>
  <c r="AJ10"/>
  <c r="AK10"/>
  <c r="AK11" s="1"/>
  <c r="AL10"/>
  <c r="AM10"/>
  <c r="AM11" s="1"/>
  <c r="AN10"/>
  <c r="AF12"/>
  <c r="AF13" s="1"/>
  <c r="AG12"/>
  <c r="AH12"/>
  <c r="AH13" s="1"/>
  <c r="AI12"/>
  <c r="AJ12"/>
  <c r="AJ13" s="1"/>
  <c r="AK12"/>
  <c r="AL12"/>
  <c r="AL13" s="1"/>
  <c r="AM12"/>
  <c r="AN12"/>
  <c r="AN13" s="1"/>
  <c r="AF14"/>
  <c r="AG14"/>
  <c r="AG15" s="1"/>
  <c r="AH14"/>
  <c r="AI14"/>
  <c r="AI15" s="1"/>
  <c r="AJ14"/>
  <c r="AK14"/>
  <c r="AK15" s="1"/>
  <c r="AL14"/>
  <c r="AM14"/>
  <c r="AM15" s="1"/>
  <c r="AN14"/>
  <c r="AF16"/>
  <c r="AF17" s="1"/>
  <c r="AG16"/>
  <c r="AH16"/>
  <c r="AH17" s="1"/>
  <c r="AI16"/>
  <c r="AJ16"/>
  <c r="AJ17" s="1"/>
  <c r="AK16"/>
  <c r="AL16"/>
  <c r="AL17" s="1"/>
  <c r="AM16"/>
  <c r="AN16"/>
  <c r="AN17" s="1"/>
  <c r="AF18"/>
  <c r="AN18" s="1"/>
  <c r="AG18"/>
  <c r="AH18"/>
  <c r="AI18"/>
  <c r="AJ18"/>
  <c r="AK18"/>
  <c r="AL18"/>
  <c r="AM18"/>
  <c r="AF20"/>
  <c r="AG20"/>
  <c r="AG21" s="1"/>
  <c r="AH20"/>
  <c r="AI20"/>
  <c r="AI21" s="1"/>
  <c r="AJ20"/>
  <c r="AK20"/>
  <c r="AK21" s="1"/>
  <c r="AL20"/>
  <c r="AM20"/>
  <c r="AM21" s="1"/>
  <c r="AN20"/>
  <c r="AF22"/>
  <c r="AF23" s="1"/>
  <c r="AG22"/>
  <c r="AH22"/>
  <c r="AH23" s="1"/>
  <c r="AI22"/>
  <c r="AJ22"/>
  <c r="AJ23" s="1"/>
  <c r="AK22"/>
  <c r="AL22"/>
  <c r="AL23" s="1"/>
  <c r="AM22"/>
  <c r="AN22"/>
  <c r="AN23" s="1"/>
  <c r="AF24"/>
  <c r="AG24"/>
  <c r="AG25" s="1"/>
  <c r="AH24"/>
  <c r="AI24"/>
  <c r="AI25" s="1"/>
  <c r="AJ24"/>
  <c r="AK24"/>
  <c r="AK25" s="1"/>
  <c r="AL24"/>
  <c r="AM24"/>
  <c r="AM25" s="1"/>
  <c r="AN24"/>
  <c r="AF26"/>
  <c r="AF27" s="1"/>
  <c r="AG26"/>
  <c r="AH26"/>
  <c r="AH27" s="1"/>
  <c r="AI26"/>
  <c r="AJ26"/>
  <c r="AJ27" s="1"/>
  <c r="AK26"/>
  <c r="AL26"/>
  <c r="AL27" s="1"/>
  <c r="AM26"/>
  <c r="AN26"/>
  <c r="AN27" s="1"/>
  <c r="AF28"/>
  <c r="AG28"/>
  <c r="AG29" s="1"/>
  <c r="AH28"/>
  <c r="AI28"/>
  <c r="AI29" s="1"/>
  <c r="AJ28"/>
  <c r="AK28"/>
  <c r="AK29" s="1"/>
  <c r="AL28"/>
  <c r="AM28"/>
  <c r="AM29" s="1"/>
  <c r="AN28"/>
  <c r="AF30"/>
  <c r="AF31" s="1"/>
  <c r="AG30"/>
  <c r="AH30"/>
  <c r="AH31" s="1"/>
  <c r="AI30"/>
  <c r="AJ30"/>
  <c r="AJ31" s="1"/>
  <c r="AK30"/>
  <c r="AL30"/>
  <c r="AL31" s="1"/>
  <c r="AM30"/>
  <c r="AN30"/>
  <c r="AN31" s="1"/>
  <c r="AF32"/>
  <c r="AG32"/>
  <c r="AG33" s="1"/>
  <c r="AH32"/>
  <c r="AI32"/>
  <c r="AI33" s="1"/>
  <c r="AJ32"/>
  <c r="AK32"/>
  <c r="AK33" s="1"/>
  <c r="AL32"/>
  <c r="AM32"/>
  <c r="AM33" s="1"/>
  <c r="AN32"/>
  <c r="AF34"/>
  <c r="AF35" s="1"/>
  <c r="AG34"/>
  <c r="AH34"/>
  <c r="AH35" s="1"/>
  <c r="AI34"/>
  <c r="AJ34"/>
  <c r="AJ35" s="1"/>
  <c r="AK34"/>
  <c r="AL34"/>
  <c r="AL35" s="1"/>
  <c r="AM34"/>
  <c r="AN34"/>
  <c r="AN35" s="1"/>
  <c r="AF36"/>
  <c r="AG36"/>
  <c r="AG37" s="1"/>
  <c r="AH36"/>
  <c r="AI36"/>
  <c r="AI37" s="1"/>
  <c r="AJ36"/>
  <c r="AK36"/>
  <c r="AK37" s="1"/>
  <c r="AL36"/>
  <c r="AM36"/>
  <c r="AM37" s="1"/>
  <c r="AN36"/>
  <c r="AF38"/>
  <c r="AF39" s="1"/>
  <c r="AG38"/>
  <c r="AH38"/>
  <c r="AH39" s="1"/>
  <c r="AI38"/>
  <c r="AJ38"/>
  <c r="AJ39" s="1"/>
  <c r="AK38"/>
  <c r="AL38"/>
  <c r="AL39" s="1"/>
  <c r="AM38"/>
  <c r="AN38"/>
  <c r="AN39" s="1"/>
  <c r="AF40"/>
  <c r="AG40"/>
  <c r="AG41" s="1"/>
  <c r="AH40"/>
  <c r="AI40"/>
  <c r="AI41" s="1"/>
  <c r="AJ40"/>
  <c r="AK40"/>
  <c r="AK41" s="1"/>
  <c r="AL40"/>
  <c r="AM40"/>
  <c r="AM41" s="1"/>
  <c r="AN40"/>
  <c r="AF42"/>
  <c r="AG42"/>
  <c r="AH42"/>
  <c r="AI42"/>
  <c r="AJ42"/>
  <c r="AK42"/>
  <c r="AL42"/>
  <c r="AM42"/>
  <c r="AN42"/>
  <c r="AM48"/>
  <c r="AL48"/>
  <c r="AL49" s="1"/>
  <c r="AK48"/>
  <c r="AK49" s="1"/>
  <c r="AJ48"/>
  <c r="AJ49" s="1"/>
  <c r="AI48"/>
  <c r="AI49" s="1"/>
  <c r="AH48"/>
  <c r="AH49" s="1"/>
  <c r="AG48"/>
  <c r="AG49" s="1"/>
  <c r="AF48"/>
  <c r="AN48" s="1"/>
  <c r="AN49" s="1"/>
  <c r="AN47"/>
  <c r="AM47"/>
  <c r="AL47"/>
  <c r="AK47"/>
  <c r="AJ47"/>
  <c r="AI47"/>
  <c r="AH47"/>
  <c r="AG47"/>
  <c r="AM6"/>
  <c r="AM7" s="1"/>
  <c r="AL6"/>
  <c r="AL7" s="1"/>
  <c r="AK6"/>
  <c r="AK7" s="1"/>
  <c r="AJ6"/>
  <c r="AJ7" s="1"/>
  <c r="AI6"/>
  <c r="AI7" s="1"/>
  <c r="AH6"/>
  <c r="AH7" s="1"/>
  <c r="AG6"/>
  <c r="AG7" s="1"/>
  <c r="AF6"/>
  <c r="AN6" s="1"/>
  <c r="AN7" s="1"/>
  <c r="AN5"/>
  <c r="AM5"/>
  <c r="AL5"/>
  <c r="AK5"/>
  <c r="AJ5"/>
  <c r="AI5"/>
  <c r="AH5"/>
  <c r="AG5"/>
  <c r="S84"/>
  <c r="R84"/>
  <c r="Q84"/>
  <c r="P84"/>
  <c r="O84"/>
  <c r="N84"/>
  <c r="M84"/>
  <c r="L84"/>
  <c r="T84" s="1"/>
  <c r="S80"/>
  <c r="R80"/>
  <c r="Q80"/>
  <c r="P80"/>
  <c r="O80"/>
  <c r="N80"/>
  <c r="M80"/>
  <c r="L80"/>
  <c r="S76"/>
  <c r="R76"/>
  <c r="Q76"/>
  <c r="P76"/>
  <c r="O76"/>
  <c r="N76"/>
  <c r="M76"/>
  <c r="L76"/>
  <c r="S74"/>
  <c r="S75" s="1"/>
  <c r="R74"/>
  <c r="R75" s="1"/>
  <c r="Q74"/>
  <c r="Q75" s="1"/>
  <c r="P74"/>
  <c r="P75" s="1"/>
  <c r="O74"/>
  <c r="O75" s="1"/>
  <c r="N74"/>
  <c r="N75" s="1"/>
  <c r="M74"/>
  <c r="M75" s="1"/>
  <c r="L74"/>
  <c r="T74" s="1"/>
  <c r="S72"/>
  <c r="S73" s="1"/>
  <c r="R72"/>
  <c r="R73" s="1"/>
  <c r="Q72"/>
  <c r="Q73" s="1"/>
  <c r="P72"/>
  <c r="P73" s="1"/>
  <c r="O72"/>
  <c r="O73" s="1"/>
  <c r="N72"/>
  <c r="N73" s="1"/>
  <c r="M72"/>
  <c r="M73" s="1"/>
  <c r="L72"/>
  <c r="T72" s="1"/>
  <c r="T73" s="1"/>
  <c r="S70"/>
  <c r="S71" s="1"/>
  <c r="R70"/>
  <c r="R71" s="1"/>
  <c r="Q70"/>
  <c r="Q71" s="1"/>
  <c r="P70"/>
  <c r="P71" s="1"/>
  <c r="O70"/>
  <c r="O71" s="1"/>
  <c r="N70"/>
  <c r="N71" s="1"/>
  <c r="M70"/>
  <c r="M71" s="1"/>
  <c r="L70"/>
  <c r="T70" s="1"/>
  <c r="T71" s="1"/>
  <c r="S68"/>
  <c r="S69" s="1"/>
  <c r="R68"/>
  <c r="R69" s="1"/>
  <c r="Q68"/>
  <c r="Q69" s="1"/>
  <c r="P68"/>
  <c r="P69" s="1"/>
  <c r="O68"/>
  <c r="O69" s="1"/>
  <c r="N68"/>
  <c r="N69" s="1"/>
  <c r="M68"/>
  <c r="M69" s="1"/>
  <c r="L68"/>
  <c r="T68" s="1"/>
  <c r="T69" s="1"/>
  <c r="S66"/>
  <c r="S67" s="1"/>
  <c r="R66"/>
  <c r="R67" s="1"/>
  <c r="Q66"/>
  <c r="Q67" s="1"/>
  <c r="P66"/>
  <c r="P67" s="1"/>
  <c r="O66"/>
  <c r="O67" s="1"/>
  <c r="N66"/>
  <c r="N67" s="1"/>
  <c r="M66"/>
  <c r="M67" s="1"/>
  <c r="L66"/>
  <c r="T66" s="1"/>
  <c r="T67" s="1"/>
  <c r="S64"/>
  <c r="S65" s="1"/>
  <c r="R64"/>
  <c r="R65" s="1"/>
  <c r="Q64"/>
  <c r="Q65" s="1"/>
  <c r="P64"/>
  <c r="P65" s="1"/>
  <c r="O64"/>
  <c r="O65" s="1"/>
  <c r="N64"/>
  <c r="N65" s="1"/>
  <c r="M64"/>
  <c r="M65" s="1"/>
  <c r="L64"/>
  <c r="T64" s="1"/>
  <c r="T65" s="1"/>
  <c r="S62"/>
  <c r="S63" s="1"/>
  <c r="R62"/>
  <c r="R63" s="1"/>
  <c r="Q62"/>
  <c r="Q63" s="1"/>
  <c r="P62"/>
  <c r="P63" s="1"/>
  <c r="O62"/>
  <c r="O63" s="1"/>
  <c r="N62"/>
  <c r="N63" s="1"/>
  <c r="M62"/>
  <c r="M63" s="1"/>
  <c r="L62"/>
  <c r="T62" s="1"/>
  <c r="T63" s="1"/>
  <c r="S60"/>
  <c r="S61" s="1"/>
  <c r="R60"/>
  <c r="R61" s="1"/>
  <c r="Q60"/>
  <c r="Q61" s="1"/>
  <c r="P60"/>
  <c r="P61" s="1"/>
  <c r="O60"/>
  <c r="O61" s="1"/>
  <c r="N60"/>
  <c r="N61" s="1"/>
  <c r="M60"/>
  <c r="M61" s="1"/>
  <c r="L60"/>
  <c r="T60" s="1"/>
  <c r="T61" s="1"/>
  <c r="S58"/>
  <c r="S59" s="1"/>
  <c r="R58"/>
  <c r="R59" s="1"/>
  <c r="Q58"/>
  <c r="Q59" s="1"/>
  <c r="P58"/>
  <c r="P59" s="1"/>
  <c r="O58"/>
  <c r="O59" s="1"/>
  <c r="N58"/>
  <c r="N59" s="1"/>
  <c r="M58"/>
  <c r="M59" s="1"/>
  <c r="L58"/>
  <c r="T58" s="1"/>
  <c r="T59" s="1"/>
  <c r="S56"/>
  <c r="S57" s="1"/>
  <c r="R56"/>
  <c r="R57" s="1"/>
  <c r="Q56"/>
  <c r="Q57" s="1"/>
  <c r="P56"/>
  <c r="P57" s="1"/>
  <c r="O56"/>
  <c r="O57" s="1"/>
  <c r="N56"/>
  <c r="N57" s="1"/>
  <c r="M56"/>
  <c r="M57" s="1"/>
  <c r="L56"/>
  <c r="T56" s="1"/>
  <c r="T57" s="1"/>
  <c r="S54"/>
  <c r="S55" s="1"/>
  <c r="R54"/>
  <c r="R55" s="1"/>
  <c r="Q54"/>
  <c r="Q55" s="1"/>
  <c r="P54"/>
  <c r="P55" s="1"/>
  <c r="O54"/>
  <c r="O55" s="1"/>
  <c r="N54"/>
  <c r="N55" s="1"/>
  <c r="M54"/>
  <c r="M55" s="1"/>
  <c r="L54"/>
  <c r="T54" s="1"/>
  <c r="T55" s="1"/>
  <c r="S52"/>
  <c r="S53" s="1"/>
  <c r="R52"/>
  <c r="R53" s="1"/>
  <c r="Q52"/>
  <c r="Q53" s="1"/>
  <c r="P52"/>
  <c r="P53" s="1"/>
  <c r="O52"/>
  <c r="O53" s="1"/>
  <c r="N52"/>
  <c r="N53" s="1"/>
  <c r="M52"/>
  <c r="M53" s="1"/>
  <c r="L52"/>
  <c r="T52" s="1"/>
  <c r="T53" s="1"/>
  <c r="S50"/>
  <c r="S51" s="1"/>
  <c r="R50"/>
  <c r="R51" s="1"/>
  <c r="Q50"/>
  <c r="Q51" s="1"/>
  <c r="P50"/>
  <c r="P51" s="1"/>
  <c r="O50"/>
  <c r="O51" s="1"/>
  <c r="N50"/>
  <c r="N51" s="1"/>
  <c r="M50"/>
  <c r="M51" s="1"/>
  <c r="L50"/>
  <c r="T50" s="1"/>
  <c r="T51" s="1"/>
  <c r="S48"/>
  <c r="S49" s="1"/>
  <c r="R48"/>
  <c r="R49" s="1"/>
  <c r="Q48"/>
  <c r="Q49" s="1"/>
  <c r="P48"/>
  <c r="P49" s="1"/>
  <c r="O48"/>
  <c r="O49" s="1"/>
  <c r="N48"/>
  <c r="N49" s="1"/>
  <c r="M48"/>
  <c r="M49" s="1"/>
  <c r="L48"/>
  <c r="T48" s="1"/>
  <c r="T49" s="1"/>
  <c r="T47"/>
  <c r="S47"/>
  <c r="R47"/>
  <c r="Q47"/>
  <c r="P47"/>
  <c r="O47"/>
  <c r="N47"/>
  <c r="M47"/>
  <c r="Q10"/>
  <c r="M8"/>
  <c r="M9" s="1"/>
  <c r="N8"/>
  <c r="O8"/>
  <c r="O9" s="1"/>
  <c r="P8"/>
  <c r="Q8"/>
  <c r="Q9" s="1"/>
  <c r="R8"/>
  <c r="S8"/>
  <c r="M10"/>
  <c r="N10"/>
  <c r="O10"/>
  <c r="P10"/>
  <c r="R10"/>
  <c r="S10"/>
  <c r="S11" s="1"/>
  <c r="M12"/>
  <c r="N12"/>
  <c r="N13" s="1"/>
  <c r="O12"/>
  <c r="P12"/>
  <c r="P13" s="1"/>
  <c r="Q12"/>
  <c r="R12"/>
  <c r="R13" s="1"/>
  <c r="S12"/>
  <c r="M14"/>
  <c r="M15" s="1"/>
  <c r="N14"/>
  <c r="O14"/>
  <c r="O15" s="1"/>
  <c r="P14"/>
  <c r="Q14"/>
  <c r="Q15" s="1"/>
  <c r="R14"/>
  <c r="S14"/>
  <c r="S15" s="1"/>
  <c r="M16"/>
  <c r="N16"/>
  <c r="N17" s="1"/>
  <c r="O16"/>
  <c r="P16"/>
  <c r="P17" s="1"/>
  <c r="Q16"/>
  <c r="R16"/>
  <c r="R17" s="1"/>
  <c r="S16"/>
  <c r="M18"/>
  <c r="M19" s="1"/>
  <c r="N18"/>
  <c r="O18"/>
  <c r="O19" s="1"/>
  <c r="P18"/>
  <c r="Q18"/>
  <c r="Q19" s="1"/>
  <c r="R18"/>
  <c r="S18"/>
  <c r="S19" s="1"/>
  <c r="M20"/>
  <c r="N20"/>
  <c r="N21" s="1"/>
  <c r="O20"/>
  <c r="P20"/>
  <c r="P21" s="1"/>
  <c r="Q20"/>
  <c r="R20"/>
  <c r="R21" s="1"/>
  <c r="S20"/>
  <c r="M22"/>
  <c r="M23" s="1"/>
  <c r="N22"/>
  <c r="O22"/>
  <c r="O23" s="1"/>
  <c r="P22"/>
  <c r="Q22"/>
  <c r="Q23" s="1"/>
  <c r="R22"/>
  <c r="S22"/>
  <c r="S23" s="1"/>
  <c r="M24"/>
  <c r="N24"/>
  <c r="N25" s="1"/>
  <c r="O24"/>
  <c r="P24"/>
  <c r="P25" s="1"/>
  <c r="Q24"/>
  <c r="R24"/>
  <c r="R25" s="1"/>
  <c r="S24"/>
  <c r="M26"/>
  <c r="M27" s="1"/>
  <c r="N26"/>
  <c r="O26"/>
  <c r="O27" s="1"/>
  <c r="P26"/>
  <c r="Q26"/>
  <c r="Q27" s="1"/>
  <c r="R26"/>
  <c r="S26"/>
  <c r="S27" s="1"/>
  <c r="M28"/>
  <c r="N28"/>
  <c r="N29" s="1"/>
  <c r="O28"/>
  <c r="P28"/>
  <c r="P29" s="1"/>
  <c r="Q28"/>
  <c r="R28"/>
  <c r="R29" s="1"/>
  <c r="S28"/>
  <c r="M30"/>
  <c r="M31" s="1"/>
  <c r="N30"/>
  <c r="O30"/>
  <c r="O31" s="1"/>
  <c r="P30"/>
  <c r="Q30"/>
  <c r="Q31" s="1"/>
  <c r="R30"/>
  <c r="S30"/>
  <c r="S31" s="1"/>
  <c r="M32"/>
  <c r="N32"/>
  <c r="N33" s="1"/>
  <c r="O32"/>
  <c r="P32"/>
  <c r="P33" s="1"/>
  <c r="Q32"/>
  <c r="R32"/>
  <c r="R33" s="1"/>
  <c r="S32"/>
  <c r="M34"/>
  <c r="M35" s="1"/>
  <c r="N34"/>
  <c r="O34"/>
  <c r="O35" s="1"/>
  <c r="P34"/>
  <c r="Q34"/>
  <c r="Q35" s="1"/>
  <c r="R34"/>
  <c r="S34"/>
  <c r="S35" s="1"/>
  <c r="M36"/>
  <c r="N36"/>
  <c r="N37" s="1"/>
  <c r="O36"/>
  <c r="P36"/>
  <c r="P37" s="1"/>
  <c r="Q36"/>
  <c r="R36"/>
  <c r="R37" s="1"/>
  <c r="S36"/>
  <c r="M38"/>
  <c r="M39" s="1"/>
  <c r="N38"/>
  <c r="O38"/>
  <c r="O39" s="1"/>
  <c r="P38"/>
  <c r="Q38"/>
  <c r="Q39" s="1"/>
  <c r="R38"/>
  <c r="S38"/>
  <c r="S39" s="1"/>
  <c r="M40"/>
  <c r="N40"/>
  <c r="N41" s="1"/>
  <c r="O40"/>
  <c r="P40"/>
  <c r="P41" s="1"/>
  <c r="Q40"/>
  <c r="R40"/>
  <c r="R41" s="1"/>
  <c r="S40"/>
  <c r="M42"/>
  <c r="N42"/>
  <c r="O42"/>
  <c r="P42"/>
  <c r="Q42"/>
  <c r="R42"/>
  <c r="S42"/>
  <c r="M6"/>
  <c r="N6"/>
  <c r="N7" s="1"/>
  <c r="O6"/>
  <c r="P6"/>
  <c r="P7" s="1"/>
  <c r="Q6"/>
  <c r="R6"/>
  <c r="R7" s="1"/>
  <c r="S6"/>
  <c r="L8"/>
  <c r="T8" s="1"/>
  <c r="T9" s="1"/>
  <c r="L10"/>
  <c r="T10" s="1"/>
  <c r="L12"/>
  <c r="T12" s="1"/>
  <c r="T13" s="1"/>
  <c r="L14"/>
  <c r="T14" s="1"/>
  <c r="L16"/>
  <c r="T16" s="1"/>
  <c r="T17" s="1"/>
  <c r="L18"/>
  <c r="T18" s="1"/>
  <c r="L20"/>
  <c r="T20" s="1"/>
  <c r="T21" s="1"/>
  <c r="L22"/>
  <c r="T22" s="1"/>
  <c r="L24"/>
  <c r="T24" s="1"/>
  <c r="T25" s="1"/>
  <c r="L26"/>
  <c r="T26" s="1"/>
  <c r="L28"/>
  <c r="T28" s="1"/>
  <c r="T29" s="1"/>
  <c r="L30"/>
  <c r="T30" s="1"/>
  <c r="L32"/>
  <c r="T32" s="1"/>
  <c r="T33" s="1"/>
  <c r="L34"/>
  <c r="T34" s="1"/>
  <c r="L36"/>
  <c r="T36" s="1"/>
  <c r="T37" s="1"/>
  <c r="L38"/>
  <c r="T38" s="1"/>
  <c r="L40"/>
  <c r="T40" s="1"/>
  <c r="T41" s="1"/>
  <c r="L42"/>
  <c r="T42" s="1"/>
  <c r="L6"/>
  <c r="T6" s="1"/>
  <c r="T7" s="1"/>
  <c r="T5"/>
  <c r="S5"/>
  <c r="R5"/>
  <c r="Q5"/>
  <c r="P5"/>
  <c r="O5"/>
  <c r="N5"/>
  <c r="M5"/>
  <c r="AG42" i="1"/>
  <c r="BK42" s="1"/>
  <c r="AG43"/>
  <c r="BK43" s="1"/>
  <c r="BL43" s="1"/>
  <c r="BN43" s="1"/>
  <c r="N11"/>
  <c r="N12"/>
  <c r="N178" i="3" l="1"/>
  <c r="L165"/>
  <c r="L36" i="1" s="1"/>
  <c r="L168" i="3"/>
  <c r="N36" i="1" s="1"/>
  <c r="M13"/>
  <c r="T13" s="1"/>
  <c r="R204" i="3"/>
  <c r="BN47" i="1"/>
  <c r="U43" i="3"/>
  <c r="T66" i="1" s="1"/>
  <c r="K52" s="1"/>
  <c r="C58" s="1"/>
  <c r="E56" s="1"/>
  <c r="AL20"/>
  <c r="BX24"/>
  <c r="BB24"/>
  <c r="BT43"/>
  <c r="BW42"/>
  <c r="BQ28"/>
  <c r="BA28"/>
  <c r="BQ47"/>
  <c r="BA20"/>
  <c r="AJ32"/>
  <c r="BZ24"/>
  <c r="BD32"/>
  <c r="BB32"/>
  <c r="BM23"/>
  <c r="BG30"/>
  <c r="BY39"/>
  <c r="AM39" s="1"/>
  <c r="BD25"/>
  <c r="BW27"/>
  <c r="BA24"/>
  <c r="BA26"/>
  <c r="BW40"/>
  <c r="AL24"/>
  <c r="BS27"/>
  <c r="AK27" s="1"/>
  <c r="BC28"/>
  <c r="P28" s="1"/>
  <c r="BW23"/>
  <c r="AM48"/>
  <c r="AJ48"/>
  <c r="AJ28"/>
  <c r="AK32"/>
  <c r="O32"/>
  <c r="P24"/>
  <c r="P20"/>
  <c r="AK28"/>
  <c r="AK46"/>
  <c r="AL47"/>
  <c r="AJ44"/>
  <c r="P121" i="3"/>
  <c r="N16" i="1" s="1"/>
  <c r="O27"/>
  <c r="O28"/>
  <c r="R26"/>
  <c r="O23"/>
  <c r="O19"/>
  <c r="AE40"/>
  <c r="AF40"/>
  <c r="BT26"/>
  <c r="BS26"/>
  <c r="BR26"/>
  <c r="BQ26"/>
  <c r="BT29"/>
  <c r="BS29"/>
  <c r="BR29"/>
  <c r="BQ29"/>
  <c r="BH27"/>
  <c r="BG27"/>
  <c r="BJ27"/>
  <c r="AE38"/>
  <c r="AF38"/>
  <c r="AF45"/>
  <c r="AE45"/>
  <c r="AE41"/>
  <c r="AF41"/>
  <c r="BR22"/>
  <c r="BQ22"/>
  <c r="BT22"/>
  <c r="BS22"/>
  <c r="BT20"/>
  <c r="BS20"/>
  <c r="BR20"/>
  <c r="BQ20"/>
  <c r="BW30"/>
  <c r="BY30"/>
  <c r="BT25"/>
  <c r="BS25"/>
  <c r="BR25"/>
  <c r="BQ25"/>
  <c r="BH25"/>
  <c r="BG25"/>
  <c r="BJ25"/>
  <c r="BG19"/>
  <c r="Q19" s="1"/>
  <c r="BM22"/>
  <c r="BI27"/>
  <c r="BX28"/>
  <c r="BW32"/>
  <c r="BW19"/>
  <c r="BW31"/>
  <c r="Q28"/>
  <c r="R28"/>
  <c r="P32"/>
  <c r="BS39"/>
  <c r="AK39" s="1"/>
  <c r="BX40"/>
  <c r="BZ46"/>
  <c r="BX49"/>
  <c r="AM44"/>
  <c r="BY43"/>
  <c r="BY47"/>
  <c r="BR47"/>
  <c r="BM30"/>
  <c r="BR43"/>
  <c r="BQ21"/>
  <c r="BZ25"/>
  <c r="AM25" s="1"/>
  <c r="O20"/>
  <c r="BX25"/>
  <c r="AL25" s="1"/>
  <c r="BI25"/>
  <c r="BY24"/>
  <c r="AM24" s="1"/>
  <c r="BY28"/>
  <c r="AM28" s="1"/>
  <c r="BX32"/>
  <c r="BX23"/>
  <c r="AL23" s="1"/>
  <c r="BX27"/>
  <c r="AL27" s="1"/>
  <c r="BB25"/>
  <c r="O25" s="1"/>
  <c r="BC23"/>
  <c r="P23" s="1"/>
  <c r="BX19"/>
  <c r="BC19"/>
  <c r="P19" s="1"/>
  <c r="AF48"/>
  <c r="AE48"/>
  <c r="BH32"/>
  <c r="BI32"/>
  <c r="BD26"/>
  <c r="BC26"/>
  <c r="BZ26"/>
  <c r="BW26"/>
  <c r="BX26"/>
  <c r="BY26"/>
  <c r="BT19"/>
  <c r="BS19"/>
  <c r="BR19"/>
  <c r="BQ19"/>
  <c r="BH23"/>
  <c r="BG23"/>
  <c r="BJ23"/>
  <c r="G76"/>
  <c r="BM27"/>
  <c r="BT47"/>
  <c r="BZ47"/>
  <c r="BY40"/>
  <c r="BQ39"/>
  <c r="BM19"/>
  <c r="BM40"/>
  <c r="BS23"/>
  <c r="AK23" s="1"/>
  <c r="BI22"/>
  <c r="R22" s="1"/>
  <c r="BY32"/>
  <c r="AM32" s="1"/>
  <c r="BY23"/>
  <c r="AM23" s="1"/>
  <c r="BY27"/>
  <c r="AM27" s="1"/>
  <c r="BI23"/>
  <c r="BY19"/>
  <c r="AM19" s="1"/>
  <c r="AF44"/>
  <c r="AE44"/>
  <c r="AE46"/>
  <c r="AF46"/>
  <c r="AF49"/>
  <c r="AE49"/>
  <c r="AE47"/>
  <c r="AF47"/>
  <c r="AF39"/>
  <c r="AE39"/>
  <c r="BS30"/>
  <c r="BQ30"/>
  <c r="BZ22"/>
  <c r="BW22"/>
  <c r="BX22"/>
  <c r="BY22"/>
  <c r="BB22"/>
  <c r="O22" s="1"/>
  <c r="BC22"/>
  <c r="BD22"/>
  <c r="P25"/>
  <c r="R24"/>
  <c r="BG22"/>
  <c r="BG26"/>
  <c r="Q26" s="1"/>
  <c r="BG32"/>
  <c r="Q32" s="1"/>
  <c r="BJ32"/>
  <c r="BM39"/>
  <c r="BM26"/>
  <c r="BI19"/>
  <c r="BC21"/>
  <c r="BT24"/>
  <c r="BQ23"/>
  <c r="AJ23" s="1"/>
  <c r="BQ27"/>
  <c r="AJ27" s="1"/>
  <c r="AL29"/>
  <c r="BW28"/>
  <c r="AL28" s="1"/>
  <c r="BC27"/>
  <c r="P27" s="1"/>
  <c r="O24"/>
  <c r="BQ24"/>
  <c r="AJ24" s="1"/>
  <c r="BS24"/>
  <c r="AK24" s="1"/>
  <c r="BL42"/>
  <c r="AX42"/>
  <c r="BR42" s="1"/>
  <c r="AF42"/>
  <c r="AE42"/>
  <c r="BY21"/>
  <c r="BW21"/>
  <c r="BR21"/>
  <c r="AJ21" s="1"/>
  <c r="BJ21"/>
  <c r="R21" s="1"/>
  <c r="BZ21"/>
  <c r="BX21"/>
  <c r="AL21" s="1"/>
  <c r="BT21"/>
  <c r="AK21" s="1"/>
  <c r="BH21"/>
  <c r="Q21" s="1"/>
  <c r="BD21"/>
  <c r="P21" s="1"/>
  <c r="BB21"/>
  <c r="O21" s="1"/>
  <c r="AL43"/>
  <c r="BZ43"/>
  <c r="AM43" s="1"/>
  <c r="BM43"/>
  <c r="AF43"/>
  <c r="AE43"/>
  <c r="R19"/>
  <c r="R20"/>
  <c r="BN32"/>
  <c r="BM28"/>
  <c r="BN28"/>
  <c r="BN24"/>
  <c r="BM24"/>
  <c r="AJ47"/>
  <c r="AK49"/>
  <c r="BQ38"/>
  <c r="BY38"/>
  <c r="BW38"/>
  <c r="BS38"/>
  <c r="BN38"/>
  <c r="BZ38"/>
  <c r="BR38"/>
  <c r="BT38"/>
  <c r="BX38"/>
  <c r="BM38"/>
  <c r="BM46"/>
  <c r="BQ46"/>
  <c r="AJ46" s="1"/>
  <c r="BY46"/>
  <c r="AM46" s="1"/>
  <c r="BY42"/>
  <c r="BM42"/>
  <c r="BQ42"/>
  <c r="AM40"/>
  <c r="AJ39"/>
  <c r="BW46"/>
  <c r="AL46" s="1"/>
  <c r="AK44"/>
  <c r="AJ43"/>
  <c r="AL44"/>
  <c r="BY41"/>
  <c r="AM41" s="1"/>
  <c r="BS41"/>
  <c r="AK41" s="1"/>
  <c r="BW41"/>
  <c r="AL41" s="1"/>
  <c r="BY45"/>
  <c r="AM45" s="1"/>
  <c r="BS45"/>
  <c r="AK45" s="1"/>
  <c r="BW45"/>
  <c r="AL45" s="1"/>
  <c r="BW49"/>
  <c r="AL49" s="1"/>
  <c r="BY49"/>
  <c r="AM49" s="1"/>
  <c r="AL40"/>
  <c r="BQ41"/>
  <c r="AJ41" s="1"/>
  <c r="AK43"/>
  <c r="BQ45"/>
  <c r="AJ45" s="1"/>
  <c r="AK47"/>
  <c r="BQ49"/>
  <c r="AJ49" s="1"/>
  <c r="BM41"/>
  <c r="BM45"/>
  <c r="BM49"/>
  <c r="AK40"/>
  <c r="AL48"/>
  <c r="O26"/>
  <c r="Q22"/>
  <c r="Q20"/>
  <c r="Q24"/>
  <c r="BY31"/>
  <c r="BS18"/>
  <c r="BY18"/>
  <c r="BW18"/>
  <c r="BQ18"/>
  <c r="BP31"/>
  <c r="BS31"/>
  <c r="BI18"/>
  <c r="AX31"/>
  <c r="BX31" s="1"/>
  <c r="BQ31"/>
  <c r="BM29"/>
  <c r="BH29"/>
  <c r="BJ29"/>
  <c r="BI29"/>
  <c r="BG29"/>
  <c r="BA29"/>
  <c r="BC29"/>
  <c r="BB29"/>
  <c r="BD29"/>
  <c r="BG18"/>
  <c r="BM18"/>
  <c r="BD31"/>
  <c r="BA31"/>
  <c r="BC31"/>
  <c r="BM31"/>
  <c r="BN31"/>
  <c r="BI31"/>
  <c r="BG31"/>
  <c r="BH31"/>
  <c r="AX30"/>
  <c r="AZ30"/>
  <c r="BC30" s="1"/>
  <c r="AZ18"/>
  <c r="BC18" s="1"/>
  <c r="T39" i="2"/>
  <c r="T35"/>
  <c r="T31"/>
  <c r="T27"/>
  <c r="T23"/>
  <c r="T19"/>
  <c r="T15"/>
  <c r="T11"/>
  <c r="S7"/>
  <c r="Q7"/>
  <c r="O7"/>
  <c r="M7"/>
  <c r="S41"/>
  <c r="Q41"/>
  <c r="O41"/>
  <c r="M41"/>
  <c r="R39"/>
  <c r="P39"/>
  <c r="N39"/>
  <c r="S37"/>
  <c r="Q37"/>
  <c r="O37"/>
  <c r="M37"/>
  <c r="R35"/>
  <c r="P35"/>
  <c r="N35"/>
  <c r="S33"/>
  <c r="Q33"/>
  <c r="O33"/>
  <c r="M33"/>
  <c r="R31"/>
  <c r="P31"/>
  <c r="N31"/>
  <c r="S29"/>
  <c r="Q29"/>
  <c r="O29"/>
  <c r="M29"/>
  <c r="R27"/>
  <c r="P27"/>
  <c r="N27"/>
  <c r="S25"/>
  <c r="Q25"/>
  <c r="O25"/>
  <c r="M25"/>
  <c r="R23"/>
  <c r="P23"/>
  <c r="N23"/>
  <c r="S21"/>
  <c r="Q21"/>
  <c r="O21"/>
  <c r="M21"/>
  <c r="R19"/>
  <c r="P19"/>
  <c r="N19"/>
  <c r="S17"/>
  <c r="Q17"/>
  <c r="O17"/>
  <c r="M17"/>
  <c r="R15"/>
  <c r="P15"/>
  <c r="P11"/>
  <c r="N11"/>
  <c r="S9"/>
  <c r="T76"/>
  <c r="T75" s="1"/>
  <c r="L78"/>
  <c r="N77"/>
  <c r="N78"/>
  <c r="N79" s="1"/>
  <c r="P77"/>
  <c r="P78"/>
  <c r="P79" s="1"/>
  <c r="R77"/>
  <c r="R78"/>
  <c r="R79" s="1"/>
  <c r="T80"/>
  <c r="L82"/>
  <c r="N81"/>
  <c r="N82"/>
  <c r="N83" s="1"/>
  <c r="P81"/>
  <c r="P82"/>
  <c r="P83" s="1"/>
  <c r="R81"/>
  <c r="R82"/>
  <c r="R83" s="1"/>
  <c r="AM19"/>
  <c r="AK19"/>
  <c r="AI19"/>
  <c r="AG19"/>
  <c r="AM81"/>
  <c r="AM82"/>
  <c r="AM83" s="1"/>
  <c r="AK81"/>
  <c r="AK82"/>
  <c r="AK83" s="1"/>
  <c r="AI81"/>
  <c r="AI82"/>
  <c r="AI83" s="1"/>
  <c r="AG81"/>
  <c r="AG82"/>
  <c r="AG83" s="1"/>
  <c r="AL77"/>
  <c r="AL78"/>
  <c r="AL79" s="1"/>
  <c r="AJ77"/>
  <c r="AJ78"/>
  <c r="AJ79" s="1"/>
  <c r="AH77"/>
  <c r="AH78"/>
  <c r="AH79" s="1"/>
  <c r="AN76"/>
  <c r="AF78"/>
  <c r="AF79" s="1"/>
  <c r="N15"/>
  <c r="S13"/>
  <c r="Q13"/>
  <c r="O13"/>
  <c r="M13"/>
  <c r="R11"/>
  <c r="O11"/>
  <c r="M11"/>
  <c r="R9"/>
  <c r="P9"/>
  <c r="N9"/>
  <c r="Q11"/>
  <c r="M77"/>
  <c r="M78"/>
  <c r="M79" s="1"/>
  <c r="O77"/>
  <c r="O78"/>
  <c r="O79" s="1"/>
  <c r="Q77"/>
  <c r="Q78"/>
  <c r="Q79" s="1"/>
  <c r="S77"/>
  <c r="S78"/>
  <c r="S79" s="1"/>
  <c r="M81"/>
  <c r="M82"/>
  <c r="M83" s="1"/>
  <c r="O81"/>
  <c r="O82"/>
  <c r="O83" s="1"/>
  <c r="Q81"/>
  <c r="Q82"/>
  <c r="Q83" s="1"/>
  <c r="S81"/>
  <c r="S82"/>
  <c r="S83" s="1"/>
  <c r="AM49"/>
  <c r="AN41"/>
  <c r="AL41"/>
  <c r="AJ41"/>
  <c r="AH41"/>
  <c r="AF41"/>
  <c r="AM39"/>
  <c r="AK39"/>
  <c r="AI39"/>
  <c r="AG39"/>
  <c r="AN37"/>
  <c r="AL37"/>
  <c r="AJ37"/>
  <c r="AH37"/>
  <c r="AF37"/>
  <c r="AM35"/>
  <c r="AK35"/>
  <c r="AI35"/>
  <c r="AG35"/>
  <c r="AN33"/>
  <c r="AL33"/>
  <c r="AJ33"/>
  <c r="AH33"/>
  <c r="AF33"/>
  <c r="AM31"/>
  <c r="AK31"/>
  <c r="AI31"/>
  <c r="AG31"/>
  <c r="AN29"/>
  <c r="AL29"/>
  <c r="AJ29"/>
  <c r="AH29"/>
  <c r="AF29"/>
  <c r="AM27"/>
  <c r="AK27"/>
  <c r="AI27"/>
  <c r="AG27"/>
  <c r="AN25"/>
  <c r="AL25"/>
  <c r="AJ25"/>
  <c r="AH25"/>
  <c r="AF25"/>
  <c r="AM23"/>
  <c r="AK23"/>
  <c r="AI23"/>
  <c r="AG23"/>
  <c r="AN21"/>
  <c r="AL21"/>
  <c r="AJ21"/>
  <c r="AH21"/>
  <c r="AF21"/>
  <c r="AL19"/>
  <c r="AJ19"/>
  <c r="AH19"/>
  <c r="AN19"/>
  <c r="AM17"/>
  <c r="AK17"/>
  <c r="AI17"/>
  <c r="AG17"/>
  <c r="AN15"/>
  <c r="AL15"/>
  <c r="AJ15"/>
  <c r="AH15"/>
  <c r="AF15"/>
  <c r="AM13"/>
  <c r="AK13"/>
  <c r="AI13"/>
  <c r="AG13"/>
  <c r="AN11"/>
  <c r="AL11"/>
  <c r="AJ11"/>
  <c r="AH11"/>
  <c r="AF11"/>
  <c r="AM9"/>
  <c r="AK9"/>
  <c r="AI9"/>
  <c r="AG9"/>
  <c r="AN82"/>
  <c r="AN83" s="1"/>
  <c r="AL82"/>
  <c r="AL83" s="1"/>
  <c r="AJ82"/>
  <c r="AJ83" s="1"/>
  <c r="AH82"/>
  <c r="AH83" s="1"/>
  <c r="AF82"/>
  <c r="AF83" s="1"/>
  <c r="AM78"/>
  <c r="AM79" s="1"/>
  <c r="AK78"/>
  <c r="AK79" s="1"/>
  <c r="AI78"/>
  <c r="AI79" s="1"/>
  <c r="AG78"/>
  <c r="AG79" s="1"/>
  <c r="AN75"/>
  <c r="AL75"/>
  <c r="AJ75"/>
  <c r="AH75"/>
  <c r="AF75"/>
  <c r="AM73"/>
  <c r="AK73"/>
  <c r="AI73"/>
  <c r="AG73"/>
  <c r="AN71"/>
  <c r="AL71"/>
  <c r="AJ71"/>
  <c r="AH71"/>
  <c r="AF71"/>
  <c r="AL69"/>
  <c r="AJ69"/>
  <c r="AH69"/>
  <c r="AN69"/>
  <c r="AM67"/>
  <c r="AK67"/>
  <c r="AI67"/>
  <c r="AG67"/>
  <c r="AN65"/>
  <c r="AL65"/>
  <c r="AJ65"/>
  <c r="AH65"/>
  <c r="AF65"/>
  <c r="AM63"/>
  <c r="AK63"/>
  <c r="AI63"/>
  <c r="AG63"/>
  <c r="AM61"/>
  <c r="AK61"/>
  <c r="AI61"/>
  <c r="AG61"/>
  <c r="AN59"/>
  <c r="AL59"/>
  <c r="AJ59"/>
  <c r="AH59"/>
  <c r="AF59"/>
  <c r="AM57"/>
  <c r="AK57"/>
  <c r="AI57"/>
  <c r="AG57"/>
  <c r="AN55"/>
  <c r="AL55"/>
  <c r="S91"/>
  <c r="Q91"/>
  <c r="O91"/>
  <c r="M91"/>
  <c r="M107"/>
  <c r="M103"/>
  <c r="S99"/>
  <c r="Q99"/>
  <c r="O99"/>
  <c r="M99"/>
  <c r="S95"/>
  <c r="Q95"/>
  <c r="O95"/>
  <c r="M95"/>
  <c r="AM69"/>
  <c r="AK69"/>
  <c r="AI69"/>
  <c r="AG69"/>
  <c r="AL61"/>
  <c r="AJ61"/>
  <c r="AH61"/>
  <c r="AN61"/>
  <c r="T90"/>
  <c r="T91" s="1"/>
  <c r="L91"/>
  <c r="S103"/>
  <c r="Q103"/>
  <c r="O103"/>
  <c r="T102"/>
  <c r="T103" s="1"/>
  <c r="L103"/>
  <c r="S101"/>
  <c r="Q101"/>
  <c r="O101"/>
  <c r="S127"/>
  <c r="Q127"/>
  <c r="O127"/>
  <c r="M127"/>
  <c r="AM119"/>
  <c r="AK119"/>
  <c r="AI119"/>
  <c r="AG119"/>
  <c r="AJ55"/>
  <c r="AH55"/>
  <c r="AF55"/>
  <c r="AM53"/>
  <c r="AK53"/>
  <c r="AI53"/>
  <c r="AG53"/>
  <c r="AN51"/>
  <c r="AL51"/>
  <c r="AJ51"/>
  <c r="AH51"/>
  <c r="AF51"/>
  <c r="S107"/>
  <c r="Q107"/>
  <c r="O107"/>
  <c r="T105"/>
  <c r="R105"/>
  <c r="P105"/>
  <c r="N105"/>
  <c r="L105"/>
  <c r="R103"/>
  <c r="P103"/>
  <c r="T101"/>
  <c r="R101"/>
  <c r="P101"/>
  <c r="N101"/>
  <c r="L101"/>
  <c r="T97"/>
  <c r="R97"/>
  <c r="P97"/>
  <c r="N97"/>
  <c r="L97"/>
  <c r="T93"/>
  <c r="R93"/>
  <c r="P93"/>
  <c r="N93"/>
  <c r="L93"/>
  <c r="T114"/>
  <c r="T115" s="1"/>
  <c r="L115"/>
  <c r="N115"/>
  <c r="P115"/>
  <c r="R115"/>
  <c r="AN90"/>
  <c r="AN91" s="1"/>
  <c r="AF91"/>
  <c r="AN114"/>
  <c r="AN115" s="1"/>
  <c r="AF115"/>
  <c r="AH115"/>
  <c r="AJ115"/>
  <c r="AL115"/>
  <c r="S131"/>
  <c r="Q131"/>
  <c r="O131"/>
  <c r="M131"/>
  <c r="T129"/>
  <c r="R129"/>
  <c r="P129"/>
  <c r="N129"/>
  <c r="L129"/>
  <c r="R127"/>
  <c r="P127"/>
  <c r="N127"/>
  <c r="T126"/>
  <c r="T127" s="1"/>
  <c r="L127"/>
  <c r="S125"/>
  <c r="Q125"/>
  <c r="O125"/>
  <c r="M125"/>
  <c r="T123"/>
  <c r="R123"/>
  <c r="P123"/>
  <c r="N123"/>
  <c r="L123"/>
  <c r="S121"/>
  <c r="Q121"/>
  <c r="O121"/>
  <c r="M121"/>
  <c r="T119"/>
  <c r="R119"/>
  <c r="P119"/>
  <c r="N119"/>
  <c r="L119"/>
  <c r="S117"/>
  <c r="Q117"/>
  <c r="O117"/>
  <c r="M117"/>
  <c r="AM131"/>
  <c r="AK131"/>
  <c r="AI131"/>
  <c r="AG131"/>
  <c r="AN129"/>
  <c r="AL129"/>
  <c r="AJ129"/>
  <c r="AH129"/>
  <c r="AF129"/>
  <c r="AM127"/>
  <c r="AK127"/>
  <c r="AI127"/>
  <c r="AG127"/>
  <c r="AN125"/>
  <c r="AL125"/>
  <c r="AJ125"/>
  <c r="AH125"/>
  <c r="AF125"/>
  <c r="AM123"/>
  <c r="AK123"/>
  <c r="AI123"/>
  <c r="AG123"/>
  <c r="AN121"/>
  <c r="AL121"/>
  <c r="AJ121"/>
  <c r="AH121"/>
  <c r="AF121"/>
  <c r="AL119"/>
  <c r="AJ119"/>
  <c r="AH119"/>
  <c r="AN118"/>
  <c r="AN119" s="1"/>
  <c r="AF119"/>
  <c r="AM117"/>
  <c r="AK117"/>
  <c r="AI117"/>
  <c r="AG117"/>
  <c r="AM107"/>
  <c r="AK107"/>
  <c r="AI107"/>
  <c r="AG107"/>
  <c r="AN105"/>
  <c r="AL105"/>
  <c r="AJ105"/>
  <c r="AH105"/>
  <c r="AF105"/>
  <c r="AN101"/>
  <c r="AL101"/>
  <c r="AJ101"/>
  <c r="AH101"/>
  <c r="AF101"/>
  <c r="AN97"/>
  <c r="AL97"/>
  <c r="AJ97"/>
  <c r="AH97"/>
  <c r="AF97"/>
  <c r="AN93"/>
  <c r="AL93"/>
  <c r="AJ93"/>
  <c r="AH93"/>
  <c r="AF93"/>
  <c r="AX18" i="1"/>
  <c r="F77" i="2"/>
  <c r="J77"/>
  <c r="V79"/>
  <c r="O92" i="1"/>
  <c r="O91"/>
  <c r="K96"/>
  <c r="M96" s="1"/>
  <c r="K98"/>
  <c r="M98" s="1"/>
  <c r="E55"/>
  <c r="P58"/>
  <c r="T23"/>
  <c r="AF7" i="2"/>
  <c r="L9"/>
  <c r="L17"/>
  <c r="L25"/>
  <c r="L33"/>
  <c r="L41"/>
  <c r="L49"/>
  <c r="AF61"/>
  <c r="AF69"/>
  <c r="AF77"/>
  <c r="L7"/>
  <c r="L15"/>
  <c r="L23"/>
  <c r="L31"/>
  <c r="L39"/>
  <c r="L13"/>
  <c r="AF19"/>
  <c r="L21"/>
  <c r="L29"/>
  <c r="L37"/>
  <c r="AF49"/>
  <c r="L51"/>
  <c r="L53"/>
  <c r="L55"/>
  <c r="L57"/>
  <c r="L59"/>
  <c r="L61"/>
  <c r="L63"/>
  <c r="L65"/>
  <c r="L67"/>
  <c r="L69"/>
  <c r="L71"/>
  <c r="L73"/>
  <c r="L75"/>
  <c r="L77"/>
  <c r="L79"/>
  <c r="L81"/>
  <c r="L83"/>
  <c r="L11"/>
  <c r="L19"/>
  <c r="L27"/>
  <c r="L35"/>
  <c r="T204" i="3" l="1"/>
  <c r="K86" i="1" s="1"/>
  <c r="BN42"/>
  <c r="Q27"/>
  <c r="R27"/>
  <c r="AL31"/>
  <c r="R32"/>
  <c r="AM26"/>
  <c r="AJ26"/>
  <c r="AM22"/>
  <c r="AJ20"/>
  <c r="AK22"/>
  <c r="AL19"/>
  <c r="AJ25"/>
  <c r="Q23"/>
  <c r="AK19"/>
  <c r="T19" s="1"/>
  <c r="AJ29"/>
  <c r="S29" s="1"/>
  <c r="BD30"/>
  <c r="BJ30"/>
  <c r="R30" s="1"/>
  <c r="BN30"/>
  <c r="BH30"/>
  <c r="Q30" s="1"/>
  <c r="BF39"/>
  <c r="BE39"/>
  <c r="BE46"/>
  <c r="BF46"/>
  <c r="AY41"/>
  <c r="AZ41"/>
  <c r="AY38"/>
  <c r="AZ38" s="1"/>
  <c r="AZ40"/>
  <c r="AY40"/>
  <c r="BR30"/>
  <c r="AJ30" s="1"/>
  <c r="AL26"/>
  <c r="S26" s="1"/>
  <c r="BX30"/>
  <c r="AL30" s="1"/>
  <c r="AZ39"/>
  <c r="AY39"/>
  <c r="AZ47"/>
  <c r="AY47"/>
  <c r="BF44"/>
  <c r="BE44"/>
  <c r="BF48"/>
  <c r="BE48"/>
  <c r="BE41"/>
  <c r="BF41"/>
  <c r="BE38"/>
  <c r="BF38"/>
  <c r="BE40"/>
  <c r="BF40"/>
  <c r="BF47"/>
  <c r="BE47"/>
  <c r="BE49"/>
  <c r="BF49"/>
  <c r="AY44"/>
  <c r="AZ44"/>
  <c r="AZ48"/>
  <c r="AY48"/>
  <c r="BF45"/>
  <c r="BE45"/>
  <c r="BT30"/>
  <c r="AK30" s="1"/>
  <c r="R23"/>
  <c r="AJ19"/>
  <c r="S19" s="1"/>
  <c r="P26"/>
  <c r="BZ30"/>
  <c r="AM30" s="1"/>
  <c r="AK29"/>
  <c r="AZ49"/>
  <c r="AY49"/>
  <c r="AZ46"/>
  <c r="AY46"/>
  <c r="AZ45"/>
  <c r="AY45"/>
  <c r="BB30"/>
  <c r="BA30"/>
  <c r="AL38"/>
  <c r="P22"/>
  <c r="AL22"/>
  <c r="AM47"/>
  <c r="T47" s="1"/>
  <c r="R25"/>
  <c r="AL32"/>
  <c r="Q25"/>
  <c r="AK25"/>
  <c r="T25" s="1"/>
  <c r="AK20"/>
  <c r="AJ22"/>
  <c r="AK26"/>
  <c r="T26" s="1"/>
  <c r="AJ38"/>
  <c r="AJ42"/>
  <c r="BX42"/>
  <c r="AL42" s="1"/>
  <c r="BZ42"/>
  <c r="AM42" s="1"/>
  <c r="BT42"/>
  <c r="AK42" s="1"/>
  <c r="AY42"/>
  <c r="AZ42" s="1"/>
  <c r="BE42"/>
  <c r="BF42" s="1"/>
  <c r="AM21"/>
  <c r="T21" s="1"/>
  <c r="BE43"/>
  <c r="BF43"/>
  <c r="AY43"/>
  <c r="AZ43"/>
  <c r="AK38"/>
  <c r="AM38"/>
  <c r="S49"/>
  <c r="P29"/>
  <c r="O29"/>
  <c r="Q29"/>
  <c r="BR31"/>
  <c r="BZ31"/>
  <c r="AM31" s="1"/>
  <c r="BT18"/>
  <c r="AK18" s="1"/>
  <c r="BZ18"/>
  <c r="AM18" s="1"/>
  <c r="BX18"/>
  <c r="AL18" s="1"/>
  <c r="BJ31"/>
  <c r="R31" s="1"/>
  <c r="BB31"/>
  <c r="O31" s="1"/>
  <c r="BT31"/>
  <c r="AK31" s="1"/>
  <c r="AJ31"/>
  <c r="S31" s="1"/>
  <c r="P31"/>
  <c r="BD18"/>
  <c r="P18" s="1"/>
  <c r="BR18"/>
  <c r="AJ18" s="1"/>
  <c r="BJ18"/>
  <c r="R18" s="1"/>
  <c r="BH18"/>
  <c r="Q18" s="1"/>
  <c r="BN18"/>
  <c r="R29"/>
  <c r="Q31"/>
  <c r="O30"/>
  <c r="P30"/>
  <c r="BB18"/>
  <c r="BA18"/>
  <c r="T125" i="2"/>
  <c r="AG77"/>
  <c r="AI77"/>
  <c r="AK77"/>
  <c r="AM77"/>
  <c r="AF81"/>
  <c r="AH81"/>
  <c r="AJ81"/>
  <c r="AL81"/>
  <c r="AN81"/>
  <c r="AN117"/>
  <c r="AN77"/>
  <c r="AN78"/>
  <c r="AN79" s="1"/>
  <c r="T81"/>
  <c r="T82"/>
  <c r="T83" s="1"/>
  <c r="T77"/>
  <c r="T78"/>
  <c r="T79" s="1"/>
  <c r="T28" i="1"/>
  <c r="S20"/>
  <c r="S28"/>
  <c r="T20"/>
  <c r="T29"/>
  <c r="S22"/>
  <c r="S21"/>
  <c r="T22"/>
  <c r="T32"/>
  <c r="S24"/>
  <c r="S32"/>
  <c r="T24"/>
  <c r="S23"/>
  <c r="S25"/>
  <c r="S44"/>
  <c r="T44"/>
  <c r="T27"/>
  <c r="S27"/>
  <c r="S48"/>
  <c r="T43"/>
  <c r="F55"/>
  <c r="G56" s="1"/>
  <c r="K54" s="1"/>
  <c r="N20" i="3" s="1"/>
  <c r="N25" s="1"/>
  <c r="O25" s="1"/>
  <c r="P25" s="1"/>
  <c r="M99" i="1"/>
  <c r="S45"/>
  <c r="S46"/>
  <c r="T46"/>
  <c r="T39"/>
  <c r="S47"/>
  <c r="S39"/>
  <c r="T49"/>
  <c r="S41"/>
  <c r="S43"/>
  <c r="T40"/>
  <c r="T45"/>
  <c r="S40"/>
  <c r="T48"/>
  <c r="T41"/>
  <c r="BB39" l="1"/>
  <c r="BB41"/>
  <c r="T30"/>
  <c r="S30"/>
  <c r="S42"/>
  <c r="BC44"/>
  <c r="BA44"/>
  <c r="BB44"/>
  <c r="BD44"/>
  <c r="BD46"/>
  <c r="BB46"/>
  <c r="BA46"/>
  <c r="BC46"/>
  <c r="BB48"/>
  <c r="BD48"/>
  <c r="BA48"/>
  <c r="BC48"/>
  <c r="BG48"/>
  <c r="BH48"/>
  <c r="BI48"/>
  <c r="BJ48"/>
  <c r="BB47"/>
  <c r="BD47"/>
  <c r="BC47"/>
  <c r="BA47"/>
  <c r="BA41"/>
  <c r="O41" s="1"/>
  <c r="BD41"/>
  <c r="BC41"/>
  <c r="BC40"/>
  <c r="BH39"/>
  <c r="BG39"/>
  <c r="BJ39"/>
  <c r="BI39"/>
  <c r="BH40"/>
  <c r="BG40"/>
  <c r="BJ40"/>
  <c r="BI40"/>
  <c r="BJ41"/>
  <c r="BI41"/>
  <c r="BG41"/>
  <c r="BD40"/>
  <c r="BB40"/>
  <c r="BA40"/>
  <c r="BD45"/>
  <c r="BA45"/>
  <c r="BB45"/>
  <c r="BC45"/>
  <c r="BA49"/>
  <c r="BB49"/>
  <c r="BD49"/>
  <c r="BC49"/>
  <c r="BH45"/>
  <c r="BJ45"/>
  <c r="BI45"/>
  <c r="BG45"/>
  <c r="BH47"/>
  <c r="BJ47"/>
  <c r="BI47"/>
  <c r="BG47"/>
  <c r="BJ44"/>
  <c r="BI44"/>
  <c r="BG44"/>
  <c r="BH44"/>
  <c r="BD39"/>
  <c r="BA39"/>
  <c r="O39" s="1"/>
  <c r="BC39"/>
  <c r="BH46"/>
  <c r="BJ46"/>
  <c r="BI46"/>
  <c r="BG46"/>
  <c r="BH41"/>
  <c r="BJ49"/>
  <c r="BH49"/>
  <c r="BG49"/>
  <c r="BI49"/>
  <c r="BG38"/>
  <c r="BI38"/>
  <c r="BJ38"/>
  <c r="BH38"/>
  <c r="BA38"/>
  <c r="BC38"/>
  <c r="BB38"/>
  <c r="BD38"/>
  <c r="S38"/>
  <c r="T42"/>
  <c r="BB42"/>
  <c r="BD42"/>
  <c r="BA42"/>
  <c r="BC42"/>
  <c r="BI42"/>
  <c r="BG42"/>
  <c r="BH42"/>
  <c r="BJ42"/>
  <c r="BJ43"/>
  <c r="BH43"/>
  <c r="BG43"/>
  <c r="BI43"/>
  <c r="BA43"/>
  <c r="BB43"/>
  <c r="BD43"/>
  <c r="BC43"/>
  <c r="T38"/>
  <c r="T31"/>
  <c r="T18"/>
  <c r="S18"/>
  <c r="O18"/>
  <c r="G58"/>
  <c r="N28" i="3"/>
  <c r="P28" s="1"/>
  <c r="K58" i="1" s="1"/>
  <c r="P49" l="1"/>
  <c r="O40"/>
  <c r="R41"/>
  <c r="R49"/>
  <c r="Q47"/>
  <c r="Q45"/>
  <c r="P45"/>
  <c r="O49"/>
  <c r="R42"/>
  <c r="R38"/>
  <c r="Q49"/>
  <c r="P39"/>
  <c r="R47"/>
  <c r="R45"/>
  <c r="Q40"/>
  <c r="Q39"/>
  <c r="O44"/>
  <c r="P44"/>
  <c r="Q46"/>
  <c r="Q44"/>
  <c r="Q48"/>
  <c r="O38"/>
  <c r="Q41"/>
  <c r="P41"/>
  <c r="P47"/>
  <c r="O48"/>
  <c r="O46"/>
  <c r="Q38"/>
  <c r="P38"/>
  <c r="R46"/>
  <c r="R44"/>
  <c r="O45"/>
  <c r="R40"/>
  <c r="R39"/>
  <c r="P40"/>
  <c r="O47"/>
  <c r="R48"/>
  <c r="P48"/>
  <c r="P46"/>
  <c r="Q42"/>
  <c r="O42"/>
  <c r="P42"/>
  <c r="R43"/>
  <c r="Q43"/>
  <c r="O43"/>
  <c r="P43"/>
</calcChain>
</file>

<file path=xl/comments1.xml><?xml version="1.0" encoding="utf-8"?>
<comments xmlns="http://schemas.openxmlformats.org/spreadsheetml/2006/main">
  <authors>
    <author>Astra</author>
  </authors>
  <commentList>
    <comment ref="A13" authorId="0">
      <text>
        <r>
          <rPr>
            <b/>
            <sz val="9"/>
            <color indexed="81"/>
            <rFont val="Tahoma"/>
            <family val="2"/>
            <charset val="161"/>
          </rPr>
          <t xml:space="preserve">
</t>
        </r>
        <r>
          <rPr>
            <sz val="9"/>
            <color indexed="81"/>
            <rFont val="Tahoma"/>
            <family val="2"/>
            <charset val="161"/>
          </rPr>
          <t xml:space="preserve">Επιλέξτε το είδος Α κουφώματος (κάτω) και τον τύπο πλαισίου (δεξιά). Αυτόματα συμπληρώνονται οι τιμές διείσδυσης αέρα ανά τ.μ. επιφάνειας για πόρτες και παράθυρα. 
Το εμβαδόν για τις πόρτες και τα παράθυρα από τα οποία υπάρχει διείσδυση αέρα συμπληρώνεται αυτόματα μόλις περιγράψουμε τις διαφανείς επιφάνειες στον πίνακα 3.
Εάν υπάρχει κάποιο κούφωμα ή κουφώματα με διείσδυση αέρα που είναι άλλου είδους (είδος Β και Γ), τότε το συνολικό εμβαδόν τους συμπληρώνεται αυτόματα μόλις περιγράψουμε τις διαφανείς επιφάνειες στον πίνακα 3, αλλά πρέπει να δώσουμε την τιμή διείσδυσης αέρα ανά τ.μ. επιφάνειας (βλ. τιμές στο σχόλιο του κελίου).   </t>
        </r>
      </text>
    </comment>
    <comment ref="R13" authorId="0">
      <text>
        <r>
          <rPr>
            <sz val="8"/>
            <color indexed="81"/>
            <rFont val="Tahoma"/>
            <family val="2"/>
            <charset val="161"/>
          </rPr>
          <t xml:space="preserve">                                               </t>
        </r>
        <r>
          <rPr>
            <b/>
            <sz val="8"/>
            <color indexed="81"/>
            <rFont val="Tahoma"/>
            <family val="2"/>
            <charset val="161"/>
          </rPr>
          <t xml:space="preserve"> ΔΙΕΙΣΔΥΣΗ ΑΕΡΑ</t>
        </r>
        <r>
          <rPr>
            <sz val="8"/>
            <color indexed="81"/>
            <rFont val="Tahoma"/>
            <family val="2"/>
            <charset val="161"/>
          </rPr>
          <t xml:space="preserve"> </t>
        </r>
        <r>
          <rPr>
            <i/>
            <sz val="7"/>
            <color indexed="81"/>
            <rFont val="Tahoma"/>
            <family val="2"/>
            <charset val="161"/>
          </rPr>
          <t>πιν.3.26 σελ.82</t>
        </r>
        <r>
          <rPr>
            <sz val="8"/>
            <color indexed="81"/>
            <rFont val="Tahoma"/>
            <family val="2"/>
            <charset val="161"/>
          </rPr>
          <t xml:space="preserve">
                                                                                                            </t>
        </r>
        <r>
          <rPr>
            <b/>
            <sz val="8"/>
            <color indexed="81"/>
            <rFont val="Tahoma"/>
            <family val="2"/>
            <charset val="161"/>
          </rPr>
          <t>ΠΟΡΤΑ         ΠΑΡΑΘΥΡΟ</t>
        </r>
        <r>
          <rPr>
            <sz val="8"/>
            <color indexed="81"/>
            <rFont val="Tahoma"/>
            <family val="2"/>
            <charset val="161"/>
          </rPr>
          <t xml:space="preserve">
           </t>
        </r>
        <r>
          <rPr>
            <b/>
            <sz val="8"/>
            <color indexed="81"/>
            <rFont val="Tahoma"/>
            <family val="2"/>
            <charset val="161"/>
          </rPr>
          <t xml:space="preserve"> Είδος ανοίγματος </t>
        </r>
        <r>
          <rPr>
            <sz val="8"/>
            <color indexed="81"/>
            <rFont val="Tahoma"/>
            <family val="2"/>
            <charset val="161"/>
          </rPr>
          <t xml:space="preserve">(υαλοστάσια, πόρτες κ.ά.)                            [m³/h/m²]         [m³/h/m²]
                                                 </t>
        </r>
        <r>
          <rPr>
            <b/>
            <sz val="8"/>
            <color indexed="81"/>
            <rFont val="Tahoma"/>
            <family val="2"/>
            <charset val="161"/>
          </rPr>
          <t>Κουφώματα με ξύλινο πλαίσιο</t>
        </r>
        <r>
          <rPr>
            <sz val="8"/>
            <color indexed="81"/>
            <rFont val="Tahoma"/>
            <family val="2"/>
            <charset val="161"/>
          </rPr>
          <t xml:space="preserve">
Κούφωμα με μονό υαλοπίνακα, μη αεροστεγές, χωνευτό, επάλληλο, 
ανοιγόμενο.
</t>
        </r>
        <r>
          <rPr>
            <u/>
            <sz val="8"/>
            <color indexed="81"/>
            <rFont val="Tahoma"/>
            <family val="2"/>
            <charset val="161"/>
          </rPr>
          <t xml:space="preserve">Κούφωμα χωρίς υαλοπίνακα (πόρτα) και χωρίς αεροστεγανότητα.                    11,8                 15,1     </t>
        </r>
        <r>
          <rPr>
            <sz val="8"/>
            <color indexed="81"/>
            <rFont val="Tahoma"/>
            <family val="2"/>
            <charset val="161"/>
          </rPr>
          <t xml:space="preserve">
Κούφωμα με διπλό υαλοπίνακα, επάλληλα συρόμενο, με ψήκτρες.
Ανοιγόμενο κούφωμα, με διπλό υαλοπίνακα, χωρίς πιστοποίηση.
Κούφωμα χωρίς υαλοπίνακα (πόρτα), με αεροστεγανότητα μη 
</t>
        </r>
        <r>
          <rPr>
            <u/>
            <sz val="8"/>
            <color indexed="81"/>
            <rFont val="Tahoma"/>
            <family val="2"/>
            <charset val="161"/>
          </rPr>
          <t xml:space="preserve">πιστοποιημένη.                                                                                           9,8                  12,5    </t>
        </r>
        <r>
          <rPr>
            <sz val="8"/>
            <color indexed="81"/>
            <rFont val="Tahoma"/>
            <family val="2"/>
            <charset val="161"/>
          </rPr>
          <t xml:space="preserve">
Ανοιγόμενο κούφωμα με διπλό υαλοπίνακα, αεροστεγές, με πιστοποίηση.
</t>
        </r>
        <r>
          <rPr>
            <u/>
            <sz val="8"/>
            <color indexed="81"/>
            <rFont val="Tahoma"/>
            <family val="2"/>
            <charset val="161"/>
          </rPr>
          <t xml:space="preserve">Αεροστεγές κούφωμα, χωρίς υαλοπίνακα (πόρτα), με πιστοποίηση                   7,9                  10,0    </t>
        </r>
        <r>
          <rPr>
            <sz val="8"/>
            <color indexed="81"/>
            <rFont val="Tahoma"/>
            <family val="2"/>
            <charset val="161"/>
          </rPr>
          <t xml:space="preserve">
                                     </t>
        </r>
        <r>
          <rPr>
            <b/>
            <sz val="8"/>
            <color indexed="81"/>
            <rFont val="Tahoma"/>
            <family val="2"/>
            <charset val="161"/>
          </rPr>
          <t>Κουφώματα με μεταλλικό ή συνθετικό πλαίσιο</t>
        </r>
        <r>
          <rPr>
            <sz val="8"/>
            <color indexed="81"/>
            <rFont val="Tahoma"/>
            <family val="2"/>
            <charset val="161"/>
          </rPr>
          <t xml:space="preserve">
Κούφωμα με μονό υαλοπίνακα, μη αεροστεγές, χωνευτό, επάλληλο, 
ανοιγόμενο.
</t>
        </r>
        <r>
          <rPr>
            <u/>
            <sz val="8"/>
            <color indexed="81"/>
            <rFont val="Tahoma"/>
            <family val="2"/>
            <charset val="161"/>
          </rPr>
          <t xml:space="preserve">Κούφωμα χωρίς υαλοπίνακα (πόρτα) και χωρίς αεροστεγανότητα.                    7,4                   8,7    </t>
        </r>
        <r>
          <rPr>
            <sz val="8"/>
            <color indexed="81"/>
            <rFont val="Tahoma"/>
            <family val="2"/>
            <charset val="161"/>
          </rPr>
          <t xml:space="preserve">
Κούφωμα με διπλό υαλοπίνακα, επάλληλα συρόμενο, με ψήκτρες.
Ανοιγόμενο κούφωμα, με διπλό υαλοπίνακα, χωρίς πιστοποίηση.
Κούφωμα χωρίς υαλοπίνακα (πόρτα), με αεροστεγανότητα μη 
</t>
        </r>
        <r>
          <rPr>
            <u/>
            <sz val="8"/>
            <color indexed="81"/>
            <rFont val="Tahoma"/>
            <family val="2"/>
            <charset val="161"/>
          </rPr>
          <t xml:space="preserve">πιστοποιημένη.                                                                                          5,3                   6,8    </t>
        </r>
        <r>
          <rPr>
            <sz val="8"/>
            <color indexed="81"/>
            <rFont val="Tahoma"/>
            <family val="2"/>
            <charset val="161"/>
          </rPr>
          <t xml:space="preserve">
Ανοιγόμενο κούφωμα με διπλό υαλοπίνακα, αεροστεγές, με πιστοποίηση.
</t>
        </r>
        <r>
          <rPr>
            <u/>
            <sz val="8"/>
            <color indexed="81"/>
            <rFont val="Tahoma"/>
            <family val="2"/>
            <charset val="161"/>
          </rPr>
          <t xml:space="preserve">Αεροστεγές κούφωμα, χωρίς υαλοπίνακα (πόρτα), με πιστοποίηση                  4,8                   6,2    </t>
        </r>
      </text>
    </comment>
    <comment ref="G14" authorId="0">
      <text>
        <r>
          <rPr>
            <b/>
            <sz val="9"/>
            <color indexed="81"/>
            <rFont val="Tahoma"/>
            <family val="2"/>
            <charset val="161"/>
          </rPr>
          <t xml:space="preserve">
</t>
        </r>
        <r>
          <rPr>
            <sz val="9"/>
            <color indexed="81"/>
            <rFont val="Tahoma"/>
            <family val="2"/>
            <charset val="161"/>
          </rPr>
          <t>Επιλέξτε από τις λίστες των αντίστοιχων κελιών (δεξιά) τον αριθμό των ορόφων και εάν πρόκειται για γωνιακό ή μη γωνιακό κτίριο και εάν το έτος έκδοσης της οικοδομικής άδειας είναι μέχρι το 1999, τότε εμφανίζεται το τυπικό ποσοστό επιφάνειας οπλισμένου σκυροδέματος της αδιαφανούς επιφάνειας, το οποίο πληκτρολογούμε στην στήλη %betton.</t>
        </r>
      </text>
    </comment>
    <comment ref="O14" authorId="0">
      <text>
        <r>
          <rPr>
            <sz val="9"/>
            <color indexed="81"/>
            <rFont val="Tahoma"/>
            <family val="2"/>
            <charset val="161"/>
          </rPr>
          <t xml:space="preserve">
Επιλέξτε από τις λίστες των αντίστοιχων κελιών (αριστερά) τα χαρακτηριστικά της αδιαφανούς επιφάνειας ανάλογα με την περίπτωση και πληκτρολογήστε τον συντελεστή θερμοπερατότητας στην στήλη Uτ (τοιχοδομές ή ενιαίος συντελεστής) ή Ub (οπλισμένο σκυρόδεμα). Ισχύει για τυπικές τιμές προ ΚΘΚ ή για μέγιστες τιμές από ΚΘΚ ή ΚΕΝΑΚ.
Εάν υπάρχει εγκεκριμένη μελέτη σύμφωνα με τον ΚΘΚ ή τον ΚΕΝΑΚ και δεν τίθεται σε αμφιβολία η εφαρμογή της, τότε πληκτρολογούμε τους συντελεστές θερμοπερατοτητας της μελέτης για το κάθε στοιχείο (σε m3/m2K).
</t>
        </r>
      </text>
    </comment>
    <comment ref="T14" authorId="0">
      <text>
        <r>
          <rPr>
            <sz val="8"/>
            <color indexed="81"/>
            <rFont val="Tahoma"/>
            <family val="2"/>
            <charset val="161"/>
          </rPr>
          <t xml:space="preserve">                                               </t>
        </r>
        <r>
          <rPr>
            <b/>
            <sz val="8"/>
            <color indexed="81"/>
            <rFont val="Tahoma"/>
            <family val="2"/>
            <charset val="161"/>
          </rPr>
          <t xml:space="preserve"> ΔΙΕΙΣΔΥΣΗ ΑΕΡΑ</t>
        </r>
        <r>
          <rPr>
            <sz val="8"/>
            <color indexed="81"/>
            <rFont val="Tahoma"/>
            <family val="2"/>
            <charset val="161"/>
          </rPr>
          <t xml:space="preserve"> </t>
        </r>
        <r>
          <rPr>
            <i/>
            <sz val="7"/>
            <color indexed="81"/>
            <rFont val="Tahoma"/>
            <family val="2"/>
            <charset val="161"/>
          </rPr>
          <t>πιν.3.26 σελ.82</t>
        </r>
        <r>
          <rPr>
            <sz val="8"/>
            <color indexed="81"/>
            <rFont val="Tahoma"/>
            <family val="2"/>
            <charset val="161"/>
          </rPr>
          <t xml:space="preserve">
                                                                                                            </t>
        </r>
        <r>
          <rPr>
            <b/>
            <sz val="8"/>
            <color indexed="81"/>
            <rFont val="Tahoma"/>
            <family val="2"/>
            <charset val="161"/>
          </rPr>
          <t>ΠΟΡΤΑ         ΠΑΡΑΘΥΡΟ</t>
        </r>
        <r>
          <rPr>
            <sz val="8"/>
            <color indexed="81"/>
            <rFont val="Tahoma"/>
            <family val="2"/>
            <charset val="161"/>
          </rPr>
          <t xml:space="preserve">
           </t>
        </r>
        <r>
          <rPr>
            <b/>
            <sz val="8"/>
            <color indexed="81"/>
            <rFont val="Tahoma"/>
            <family val="2"/>
            <charset val="161"/>
          </rPr>
          <t xml:space="preserve"> Είδος ανοίγματος </t>
        </r>
        <r>
          <rPr>
            <sz val="8"/>
            <color indexed="81"/>
            <rFont val="Tahoma"/>
            <family val="2"/>
            <charset val="161"/>
          </rPr>
          <t xml:space="preserve">(υαλοστάσια, πόρτες κ.ά.)                            [m³/h/m²]         [m³/h/m²]
                                                 </t>
        </r>
        <r>
          <rPr>
            <b/>
            <sz val="8"/>
            <color indexed="81"/>
            <rFont val="Tahoma"/>
            <family val="2"/>
            <charset val="161"/>
          </rPr>
          <t>Κουφώματα με ξύλινο πλαίσιο</t>
        </r>
        <r>
          <rPr>
            <sz val="8"/>
            <color indexed="81"/>
            <rFont val="Tahoma"/>
            <family val="2"/>
            <charset val="161"/>
          </rPr>
          <t xml:space="preserve">
Κούφωμα με μονό υαλοπίνακα, μη αεροστεγές, χωνευτό, επάλληλο, 
ανοιγόμενο.
</t>
        </r>
        <r>
          <rPr>
            <u/>
            <sz val="8"/>
            <color indexed="81"/>
            <rFont val="Tahoma"/>
            <family val="2"/>
            <charset val="161"/>
          </rPr>
          <t xml:space="preserve">Κούφωμα χωρίς υαλοπίνακα (πόρτα) και χωρίς αεροστεγανότητα.                    11,8                 15,1     </t>
        </r>
        <r>
          <rPr>
            <sz val="8"/>
            <color indexed="81"/>
            <rFont val="Tahoma"/>
            <family val="2"/>
            <charset val="161"/>
          </rPr>
          <t xml:space="preserve">
Κούφωμα με διπλό υαλοπίνακα, επάλληλα συρόμενο, με ψήκτρες.
Ανοιγόμενο κούφωμα, με διπλό υαλοπίνακα, χωρίς πιστοποίηση.
Κούφωμα χωρίς υαλοπίνακα (πόρτα), με αεροστεγανότητα μη 
</t>
        </r>
        <r>
          <rPr>
            <u/>
            <sz val="8"/>
            <color indexed="81"/>
            <rFont val="Tahoma"/>
            <family val="2"/>
            <charset val="161"/>
          </rPr>
          <t xml:space="preserve">πιστοποιημένη.                                                                                           9,8                  12,5    </t>
        </r>
        <r>
          <rPr>
            <sz val="8"/>
            <color indexed="81"/>
            <rFont val="Tahoma"/>
            <family val="2"/>
            <charset val="161"/>
          </rPr>
          <t xml:space="preserve">
Ανοιγόμενο κούφωμα με διπλό υαλοπίνακα, αεροστεγές, με πιστοποίηση.
</t>
        </r>
        <r>
          <rPr>
            <u/>
            <sz val="8"/>
            <color indexed="81"/>
            <rFont val="Tahoma"/>
            <family val="2"/>
            <charset val="161"/>
          </rPr>
          <t xml:space="preserve">Αεροστεγές κούφωμα, χωρίς υαλοπίνακα (πόρτα), με πιστοποίηση                   7,9                  10,0    </t>
        </r>
        <r>
          <rPr>
            <sz val="8"/>
            <color indexed="81"/>
            <rFont val="Tahoma"/>
            <family val="2"/>
            <charset val="161"/>
          </rPr>
          <t xml:space="preserve">
                                     </t>
        </r>
        <r>
          <rPr>
            <b/>
            <sz val="8"/>
            <color indexed="81"/>
            <rFont val="Tahoma"/>
            <family val="2"/>
            <charset val="161"/>
          </rPr>
          <t>Κουφώματα με μεταλλικό ή συνθετικό πλαίσιο</t>
        </r>
        <r>
          <rPr>
            <sz val="8"/>
            <color indexed="81"/>
            <rFont val="Tahoma"/>
            <family val="2"/>
            <charset val="161"/>
          </rPr>
          <t xml:space="preserve">
Κούφωμα με μονό υαλοπίνακα, μη αεροστεγές, χωνευτό, επάλληλο, 
ανοιγόμενο.
</t>
        </r>
        <r>
          <rPr>
            <u/>
            <sz val="8"/>
            <color indexed="81"/>
            <rFont val="Tahoma"/>
            <family val="2"/>
            <charset val="161"/>
          </rPr>
          <t xml:space="preserve">Κούφωμα χωρίς υαλοπίνακα (πόρτα) και χωρίς αεροστεγανότητα.                    7,4                   8,7    </t>
        </r>
        <r>
          <rPr>
            <sz val="8"/>
            <color indexed="81"/>
            <rFont val="Tahoma"/>
            <family val="2"/>
            <charset val="161"/>
          </rPr>
          <t xml:space="preserve">
Κούφωμα με διπλό υαλοπίνακα, επάλληλα συρόμενο, με ψήκτρες.
Ανοιγόμενο κούφωμα, με διπλό υαλοπίνακα, χωρίς πιστοποίηση.
Κούφωμα χωρίς υαλοπίνακα (πόρτα), με αεροστεγανότητα μη 
</t>
        </r>
        <r>
          <rPr>
            <u/>
            <sz val="8"/>
            <color indexed="81"/>
            <rFont val="Tahoma"/>
            <family val="2"/>
            <charset val="161"/>
          </rPr>
          <t xml:space="preserve">πιστοποιημένη.                                                                                          5,3                   6,8    </t>
        </r>
        <r>
          <rPr>
            <sz val="8"/>
            <color indexed="81"/>
            <rFont val="Tahoma"/>
            <family val="2"/>
            <charset val="161"/>
          </rPr>
          <t xml:space="preserve">
Ανοιγόμενο κούφωμα με διπλό υαλοπίνακα, αεροστεγές, με πιστοποίηση.
</t>
        </r>
        <r>
          <rPr>
            <u/>
            <sz val="8"/>
            <color indexed="81"/>
            <rFont val="Tahoma"/>
            <family val="2"/>
            <charset val="161"/>
          </rPr>
          <t xml:space="preserve">Αεροστεγές κούφωμα, χωρίς υαλοπίνακα (πόρτα), με πιστοποίηση                  4,8                   6,2    </t>
        </r>
      </text>
    </comment>
    <comment ref="H16" authorId="0">
      <text>
        <r>
          <rPr>
            <b/>
            <sz val="8"/>
            <color indexed="81"/>
            <rFont val="Tahoma"/>
            <family val="2"/>
            <charset val="161"/>
          </rPr>
          <t xml:space="preserve">
</t>
        </r>
        <r>
          <rPr>
            <sz val="8"/>
            <color indexed="81"/>
            <rFont val="Tahoma"/>
            <family val="2"/>
            <charset val="161"/>
          </rPr>
          <t>Για να εμφανιστεί το ποσοστό, θα πρέπει να πληκτρολογήσετε το έτος έκδοσης της οικοδομικής άδειας στα γενικά στοιχεία (πχ 1978). Μετά το 1999, θα πρέπει να υπολογιστεί αναλυτικά από τις κατόψεις της αρχιτεκτονικής μελέτης ή την αποτύπωση.</t>
        </r>
        <r>
          <rPr>
            <b/>
            <sz val="8"/>
            <color indexed="81"/>
            <rFont val="Tahoma"/>
            <family val="2"/>
            <charset val="161"/>
          </rPr>
          <t xml:space="preserve">
Έτος έκδοσης                                            Αριθμός ορόφων
</t>
        </r>
        <r>
          <rPr>
            <b/>
            <u/>
            <sz val="8"/>
            <color indexed="81"/>
            <rFont val="Tahoma"/>
            <family val="2"/>
            <charset val="161"/>
          </rPr>
          <t xml:space="preserve">οικοδομικής άδειας      Τύπος κτηρίου          </t>
        </r>
        <r>
          <rPr>
            <u/>
            <sz val="8"/>
            <color indexed="81"/>
            <rFont val="Tahoma"/>
            <family val="2"/>
            <charset val="161"/>
          </rPr>
          <t xml:space="preserve">έως 5        &gt;5     </t>
        </r>
        <r>
          <rPr>
            <sz val="8"/>
            <color indexed="81"/>
            <rFont val="Tahoma"/>
            <family val="2"/>
            <charset val="161"/>
          </rPr>
          <t xml:space="preserve">
Προ του 1981                  Γωνιακό κτήριο            15%        22%
</t>
        </r>
        <r>
          <rPr>
            <u/>
            <sz val="8"/>
            <color indexed="81"/>
            <rFont val="Tahoma"/>
            <family val="2"/>
            <charset val="161"/>
          </rPr>
          <t xml:space="preserve">                                     Μη γωνιακό κτήριο       25%        30%    </t>
        </r>
        <r>
          <rPr>
            <sz val="8"/>
            <color indexed="81"/>
            <rFont val="Tahoma"/>
            <family val="2"/>
            <charset val="161"/>
          </rPr>
          <t xml:space="preserve">
1981 έως 1999                Γωνιακό κτήριο            18%        25%
</t>
        </r>
        <r>
          <rPr>
            <u/>
            <sz val="8"/>
            <color indexed="81"/>
            <rFont val="Tahoma"/>
            <family val="2"/>
            <charset val="161"/>
          </rPr>
          <t xml:space="preserve">                                     Μη γωνιακό κτήριο       30%        35%   
</t>
        </r>
        <r>
          <rPr>
            <sz val="8"/>
            <color indexed="81"/>
            <rFont val="Tahoma"/>
            <family val="2"/>
            <charset val="161"/>
          </rPr>
          <t>Μετά το 1999                 Αποτύπωση φέροντος οργανισμού ή</t>
        </r>
        <r>
          <rPr>
            <u/>
            <sz val="8"/>
            <color indexed="81"/>
            <rFont val="Tahoma"/>
            <family val="2"/>
            <charset val="161"/>
          </rPr>
          <t xml:space="preserve">
                                     από αρχιτ. μελέτη &amp; υπολογισμός %      
</t>
        </r>
        <r>
          <rPr>
            <sz val="8"/>
            <color indexed="81"/>
            <rFont val="Tahoma"/>
            <family val="2"/>
            <charset val="161"/>
          </rPr>
          <t xml:space="preserve">                                                                           </t>
        </r>
        <r>
          <rPr>
            <i/>
            <sz val="7"/>
            <color indexed="81"/>
            <rFont val="Tahoma"/>
            <family val="2"/>
            <charset val="161"/>
          </rPr>
          <t xml:space="preserve">πιν.3.1 σελ.42
</t>
        </r>
        <r>
          <rPr>
            <b/>
            <sz val="7"/>
            <color indexed="81"/>
            <rFont val="Tahoma"/>
            <family val="2"/>
            <charset val="161"/>
          </rPr>
          <t xml:space="preserve">ΠΡΟΣΟΧΗ: </t>
        </r>
        <r>
          <rPr>
            <sz val="7"/>
            <color indexed="81"/>
            <rFont val="Tahoma"/>
            <family val="2"/>
            <charset val="161"/>
          </rPr>
          <t>το ποσοστό του οπλισμένου σκυροδέματος αφορά σε όλο το εμβαδόν της επιφάνειας (μαζί με τα ανοίγματα εάν υπάρχουν).</t>
        </r>
        <r>
          <rPr>
            <u/>
            <sz val="8"/>
            <color indexed="81"/>
            <rFont val="Tahoma"/>
            <family val="2"/>
            <charset val="161"/>
          </rPr>
          <t xml:space="preserve">
</t>
        </r>
        <r>
          <rPr>
            <sz val="8"/>
            <color indexed="81"/>
            <rFont val="Tahoma"/>
            <family val="2"/>
            <charset val="161"/>
          </rPr>
          <t>Εάν έχω</t>
        </r>
        <r>
          <rPr>
            <b/>
            <sz val="8"/>
            <color indexed="81"/>
            <rFont val="Tahoma"/>
            <family val="2"/>
            <charset val="161"/>
          </rPr>
          <t xml:space="preserve"> μόνο ένα υλικό</t>
        </r>
        <r>
          <rPr>
            <sz val="8"/>
            <color indexed="81"/>
            <rFont val="Tahoma"/>
            <family val="2"/>
            <charset val="161"/>
          </rPr>
          <t xml:space="preserve"> πχ μπετόν ή ξύλινη πόρτα εισόδου, τότε δεν συμπληρώνω το ποσοστό και βάζω τον U στην στήλη Uτ.
</t>
        </r>
      </text>
    </comment>
    <comment ref="Y16" authorId="0">
      <text>
        <r>
          <rPr>
            <sz val="8"/>
            <color indexed="81"/>
            <rFont val="Tahoma"/>
            <family val="2"/>
            <charset val="161"/>
          </rPr>
          <t xml:space="preserve">
Εάν υπάρχει τέντα μπροστά από κάποια επιφάνεια, τότε εισάγουμε το καθαρό ελεύθερο ύψος </t>
        </r>
        <r>
          <rPr>
            <b/>
            <sz val="8"/>
            <color indexed="81"/>
            <rFont val="Tahoma"/>
            <family val="2"/>
            <charset val="161"/>
          </rPr>
          <t>H2</t>
        </r>
        <r>
          <rPr>
            <sz val="8"/>
            <color indexed="81"/>
            <rFont val="Tahoma"/>
            <family val="2"/>
            <charset val="161"/>
          </rPr>
          <t xml:space="preserve"> όταν η τέντα είναι κατεβασμένη, την κάθετη απόσταση </t>
        </r>
        <r>
          <rPr>
            <b/>
            <sz val="8"/>
            <color indexed="81"/>
            <rFont val="Tahoma"/>
            <family val="2"/>
            <charset val="161"/>
          </rPr>
          <t>L2</t>
        </r>
        <r>
          <rPr>
            <sz val="8"/>
            <color indexed="81"/>
            <rFont val="Tahoma"/>
            <family val="2"/>
            <charset val="161"/>
          </rPr>
          <t xml:space="preserve"> μέχρι την επιφάνεια και το ημιση του καθαρου υψους </t>
        </r>
        <r>
          <rPr>
            <b/>
            <sz val="8"/>
            <color indexed="81"/>
            <rFont val="Tahoma"/>
            <family val="2"/>
            <charset val="161"/>
          </rPr>
          <t>Ηκαθ/2</t>
        </r>
        <r>
          <rPr>
            <sz val="8"/>
            <color indexed="81"/>
            <rFont val="Tahoma"/>
            <family val="2"/>
            <charset val="161"/>
          </rPr>
          <t xml:space="preserve"> στην στηλη του Fov (εάν δεν έχει εισαχθεί ήδη λόγο ύπαρξης και άνω προβόλου), έτσι ώστε να υπολογιστεί ο συντελεστής Fovc με αυτή την γωνία. Εάν η γωνία προκύψει μεγαλύτερη από 90ο, τότε λαμβάνετε αυτόματα ο μικρότερος συντελεστής σκίασης.</t>
        </r>
      </text>
    </comment>
    <comment ref="F17" authorId="0">
      <text>
        <r>
          <rPr>
            <sz val="9"/>
            <color indexed="81"/>
            <rFont val="Tahoma"/>
            <family val="2"/>
            <charset val="161"/>
          </rPr>
          <t xml:space="preserve">
Εισαγωγή του αθροίσματος των εμβαδών όλων των διαφανών επιφανειών του στοιχείου.</t>
        </r>
      </text>
    </comment>
    <comment ref="I17" authorId="0">
      <text>
        <r>
          <rPr>
            <sz val="8"/>
            <color indexed="81"/>
            <rFont val="Tahoma"/>
            <family val="2"/>
            <charset val="161"/>
          </rPr>
          <t xml:space="preserve">
Εάν η επιφάνεια </t>
        </r>
        <r>
          <rPr>
            <b/>
            <sz val="8"/>
            <color indexed="81"/>
            <rFont val="Tahoma"/>
            <family val="2"/>
            <charset val="161"/>
          </rPr>
          <t>δεν</t>
        </r>
        <r>
          <rPr>
            <sz val="8"/>
            <color indexed="81"/>
            <rFont val="Tahoma"/>
            <family val="2"/>
            <charset val="161"/>
          </rPr>
          <t xml:space="preserve"> αποτελείται από δυο υλικά (πχ πόρτα εισόδου ή μόνο οπτοπλινθοδομή χωρίς μπετόν) ή γνωρίζουμε τον συντελεστή θερμοπερατοτητας της συνολικής επιφάνειας (πχ Umax κατά ΚΘΚ) τότε εισάγουμε στο</t>
        </r>
        <r>
          <rPr>
            <b/>
            <sz val="8"/>
            <color indexed="81"/>
            <rFont val="Tahoma"/>
            <family val="2"/>
            <charset val="161"/>
          </rPr>
          <t xml:space="preserve"> Uτ</t>
        </r>
        <r>
          <rPr>
            <sz val="8"/>
            <color indexed="81"/>
            <rFont val="Tahoma"/>
            <family val="2"/>
            <charset val="161"/>
          </rPr>
          <t xml:space="preserve"> τον συντελεστή θερμοπερατότητας της και αφήνουμε </t>
        </r>
        <r>
          <rPr>
            <b/>
            <sz val="8"/>
            <color indexed="81"/>
            <rFont val="Tahoma"/>
            <family val="2"/>
            <charset val="161"/>
          </rPr>
          <t>κενό</t>
        </r>
        <r>
          <rPr>
            <sz val="8"/>
            <color indexed="81"/>
            <rFont val="Tahoma"/>
            <family val="2"/>
            <charset val="161"/>
          </rPr>
          <t xml:space="preserve"> το %betton και το Ub. 
Η τιμή θα αντιγράφει αυτόματα στην στήλη U της διαφανούς επιφάνειας και εάν έχουμε δώσει αρνητικό μήκος και κτιριακή μονάδα, θα μειωθεί αυτόματα κατά 50%.
</t>
        </r>
      </text>
    </comment>
    <comment ref="L17" authorId="0">
      <text>
        <r>
          <rPr>
            <sz val="8"/>
            <color indexed="81"/>
            <rFont val="Tahoma"/>
            <family val="2"/>
            <charset val="161"/>
          </rPr>
          <t xml:space="preserve">
Για </t>
        </r>
        <r>
          <rPr>
            <b/>
            <sz val="8"/>
            <color indexed="81"/>
            <rFont val="Tahoma"/>
            <family val="2"/>
            <charset val="161"/>
          </rPr>
          <t>εξωτερικά στοιχεία</t>
        </r>
        <r>
          <rPr>
            <sz val="8"/>
            <color indexed="81"/>
            <rFont val="Tahoma"/>
            <family val="2"/>
            <charset val="161"/>
          </rPr>
          <t xml:space="preserve"> που θεωρείται ότι βρίσκονται σε </t>
        </r>
        <r>
          <rPr>
            <b/>
            <sz val="8"/>
            <color indexed="81"/>
            <rFont val="Tahoma"/>
            <family val="2"/>
            <charset val="161"/>
          </rPr>
          <t>πλήρης σκιά</t>
        </r>
        <r>
          <rPr>
            <sz val="8"/>
            <color indexed="81"/>
            <rFont val="Tahoma"/>
            <family val="2"/>
            <charset val="161"/>
          </rPr>
          <t xml:space="preserve"> όπως πχ εντος φωταγωγού, συμπληρώστε την τιμή</t>
        </r>
        <r>
          <rPr>
            <b/>
            <sz val="8"/>
            <color indexed="81"/>
            <rFont val="Tahoma"/>
            <family val="2"/>
            <charset val="161"/>
          </rPr>
          <t xml:space="preserve"> -1</t>
        </r>
        <r>
          <rPr>
            <sz val="8"/>
            <color indexed="81"/>
            <rFont val="Tahoma"/>
            <family val="2"/>
            <charset val="161"/>
          </rPr>
          <t xml:space="preserve"> στον προσανατολισμό για να  μηδενιστούν οι συντελεστές σκίασης (στο λογισμικό ΤΕΕ αφήνουμε κενό το αντίστοιχο κελί).
Για </t>
        </r>
        <r>
          <rPr>
            <b/>
            <sz val="8"/>
            <color indexed="81"/>
            <rFont val="Tahoma"/>
            <family val="2"/>
            <charset val="161"/>
          </rPr>
          <t>οριζόντια εξωτερικά στοιχεία</t>
        </r>
        <r>
          <rPr>
            <sz val="8"/>
            <color indexed="81"/>
            <rFont val="Tahoma"/>
            <family val="2"/>
            <charset val="161"/>
          </rPr>
          <t xml:space="preserve"> όπως πχ το δώμα, αφήστε </t>
        </r>
        <r>
          <rPr>
            <b/>
            <sz val="8"/>
            <color indexed="81"/>
            <rFont val="Tahoma"/>
            <family val="2"/>
            <charset val="161"/>
          </rPr>
          <t>κενό</t>
        </r>
        <r>
          <rPr>
            <sz val="8"/>
            <color indexed="81"/>
            <rFont val="Tahoma"/>
            <family val="2"/>
            <charset val="161"/>
          </rPr>
          <t xml:space="preserve"> τον προσανατολισμό και εάν δεν σκιάζονται, οι συντελεστές σκίασης παραμένουν </t>
        </r>
        <r>
          <rPr>
            <b/>
            <sz val="8"/>
            <color indexed="81"/>
            <rFont val="Tahoma"/>
            <family val="2"/>
            <charset val="161"/>
          </rPr>
          <t xml:space="preserve">1,00 (καθόλου σκιά) </t>
        </r>
        <r>
          <rPr>
            <sz val="8"/>
            <color indexed="81"/>
            <rFont val="Tahoma"/>
            <family val="2"/>
            <charset val="161"/>
          </rPr>
          <t xml:space="preserve">ή εάν σκιάζονται μερικώς, συμπληρώστε τους συντελεστές σκίασης </t>
        </r>
        <r>
          <rPr>
            <b/>
            <sz val="8"/>
            <color indexed="81"/>
            <rFont val="Tahoma"/>
            <family val="2"/>
            <charset val="161"/>
          </rPr>
          <t>κατ' εκτίμηση</t>
        </r>
        <r>
          <rPr>
            <sz val="8"/>
            <color indexed="81"/>
            <rFont val="Tahoma"/>
            <family val="2"/>
            <charset val="161"/>
          </rPr>
          <t xml:space="preserve"> και σύμφωνα με τα οριζόμενα στην ΤΟΤΕΕ.
Για </t>
        </r>
        <r>
          <rPr>
            <b/>
            <sz val="8"/>
            <color indexed="81"/>
            <rFont val="Tahoma"/>
            <family val="2"/>
            <charset val="161"/>
          </rPr>
          <t xml:space="preserve">εσωτερικά στοιχεία </t>
        </r>
        <r>
          <rPr>
            <sz val="8"/>
            <color indexed="81"/>
            <rFont val="Tahoma"/>
            <family val="2"/>
            <charset val="161"/>
          </rPr>
          <t xml:space="preserve">που βρίσκονται σε πλήρη σκιά όπως πχ τοίχος σε επαφή με το εσωτερικό κλιμακοστάσιο ή διαχωριστική επιφάνεια σε περίπτωση που επιθεωρείτε όλο το κτίριο, αφήνουμε </t>
        </r>
        <r>
          <rPr>
            <b/>
            <sz val="8"/>
            <color indexed="81"/>
            <rFont val="Tahoma"/>
            <family val="2"/>
            <charset val="161"/>
          </rPr>
          <t>κενό</t>
        </r>
        <r>
          <rPr>
            <sz val="8"/>
            <color indexed="81"/>
            <rFont val="Tahoma"/>
            <family val="2"/>
            <charset val="161"/>
          </rPr>
          <t xml:space="preserve"> τον προσανατολισμός και συμπληρώνουμε το </t>
        </r>
        <r>
          <rPr>
            <b/>
            <sz val="8"/>
            <color indexed="81"/>
            <rFont val="Tahoma"/>
            <family val="2"/>
            <charset val="161"/>
          </rPr>
          <t>μήκος του στοιχείου με αρνητικό πρόσημο</t>
        </r>
        <r>
          <rPr>
            <sz val="8"/>
            <color indexed="81"/>
            <rFont val="Tahoma"/>
            <family val="2"/>
            <charset val="161"/>
          </rPr>
          <t xml:space="preserve"> έτσι ώστε να μηδενιστούν οι συντελεστές σκίασης.</t>
        </r>
      </text>
    </comment>
    <comment ref="N17" authorId="0">
      <text>
        <r>
          <rPr>
            <sz val="9"/>
            <color indexed="81"/>
            <rFont val="Tahoma"/>
            <family val="2"/>
            <charset val="161"/>
          </rPr>
          <t xml:space="preserve">
προσανατολισμός: αυτόματη στρογγυλοποίηση ανά 22,5 deg.</t>
        </r>
      </text>
    </comment>
    <comment ref="V17" authorId="0">
      <text>
        <r>
          <rPr>
            <sz val="9"/>
            <color indexed="81"/>
            <rFont val="Tahoma"/>
            <family val="2"/>
            <charset val="161"/>
          </rPr>
          <t xml:space="preserve">
Υψομετρική διαφορά από το κέντρο της επιφάνειας εως το μέγιστο ύψος του απέναντι εμποδίου (βλ. σκαρίφημα).</t>
        </r>
      </text>
    </comment>
    <comment ref="H34" authorId="0">
      <text>
        <r>
          <rPr>
            <b/>
            <sz val="9"/>
            <color indexed="81"/>
            <rFont val="Tahoma"/>
            <family val="2"/>
            <charset val="161"/>
          </rPr>
          <t xml:space="preserve">
</t>
        </r>
        <r>
          <rPr>
            <sz val="8"/>
            <color indexed="81"/>
            <rFont val="Tahoma"/>
            <family val="2"/>
            <charset val="161"/>
          </rPr>
          <t xml:space="preserve">Εάν πρόκειται για διαφανείς επιφάνειες με ποσοστό πλαισίου 20%, 30% ή 40%, τότε δεν χρειάζεται να βρούμε τις τιμές αφού μπορούμε να τις βάλουμε απευθείας στο λογισμικό του ΤΕΕ επιλέγοντας τα ανάλογα χαρακτηριστικά της επιφάνειας.
Σε περίπτωση που έχουμε άλλο ποσοστό πλαισίου και δεν θέλουμε να κάνουμε αναλυτικό υπολογισμό, τότε επιλέγοντας το ποσοστό πλαισίου % που θέλουμε γίνεται αναγωγή των τυπικών τιμών της ΤΟΤΕΕ στο επιθυμητό ποσοστό με ακρίβεια </t>
        </r>
        <r>
          <rPr>
            <sz val="8"/>
            <color indexed="81"/>
            <rFont val="Times New Roman"/>
            <family val="1"/>
            <charset val="161"/>
          </rPr>
          <t>±</t>
        </r>
        <r>
          <rPr>
            <sz val="8"/>
            <color indexed="81"/>
            <rFont val="Tahoma"/>
            <family val="2"/>
            <charset val="161"/>
          </rPr>
          <t>0,10.</t>
        </r>
      </text>
    </comment>
    <comment ref="O34" authorId="0">
      <text>
        <r>
          <rPr>
            <b/>
            <sz val="9"/>
            <color indexed="81"/>
            <rFont val="Tahoma"/>
            <family val="2"/>
            <charset val="161"/>
          </rPr>
          <t xml:space="preserve">
</t>
        </r>
        <r>
          <rPr>
            <sz val="8"/>
            <color indexed="81"/>
            <rFont val="Tahoma"/>
            <family val="2"/>
            <charset val="161"/>
          </rPr>
          <t xml:space="preserve">Για τον αναλυτικό υπολογισμό του συντελεστή θερμοπερατοτητας Uv_F και του g_w της διαφανούς επιφάνειας, επιλέγουμε στο </t>
        </r>
        <r>
          <rPr>
            <b/>
            <sz val="8"/>
            <color indexed="81"/>
            <rFont val="Tahoma"/>
            <family val="2"/>
            <charset val="161"/>
          </rPr>
          <t>ποσ. πλαισίου %</t>
        </r>
        <r>
          <rPr>
            <sz val="8"/>
            <color indexed="81"/>
            <rFont val="Tahoma"/>
            <family val="2"/>
            <charset val="161"/>
          </rPr>
          <t xml:space="preserve"> (αριστερά) "Αναλ.", τον τύπο του υαλοπίνακα και του πλαισίου. 
Εισάγουμε για μια επιφάνεια τις εξωτερικές διαστάσεις (μήκος και ύψος), τον αριθμό των υαλοπινάκων που έχει (πχ 2 για δίφυλλο κούφωμα) και τις διαστάσεις του υαλοπίνακα (μήκος και ύψος) ή του ενός εάν πρόκειται πχ για δίφυλλο κούφωμα. Υπολογίζονται αυτόματα οι τιμές, τις οποίες πληκτρολογούμε στα αντίστοιχα κελιά της επιφάνειας.</t>
        </r>
      </text>
    </comment>
    <comment ref="Y36" authorId="0">
      <text>
        <r>
          <rPr>
            <sz val="8"/>
            <color indexed="81"/>
            <rFont val="Tahoma"/>
            <family val="2"/>
            <charset val="161"/>
          </rPr>
          <t xml:space="preserve">
Εάν υπάρχει τέντα μπροστά από κάποια επιφάνεια, τότε εισάγουμε το καθαρό ελεύθερο ύψος </t>
        </r>
        <r>
          <rPr>
            <b/>
            <sz val="8"/>
            <color indexed="81"/>
            <rFont val="Tahoma"/>
            <family val="2"/>
            <charset val="161"/>
          </rPr>
          <t>H2</t>
        </r>
        <r>
          <rPr>
            <sz val="8"/>
            <color indexed="81"/>
            <rFont val="Tahoma"/>
            <family val="2"/>
            <charset val="161"/>
          </rPr>
          <t xml:space="preserve"> όταν η τέντα είναι κατεβασμένη και την κάθετη απόσταση </t>
        </r>
        <r>
          <rPr>
            <b/>
            <sz val="8"/>
            <color indexed="81"/>
            <rFont val="Tahoma"/>
            <family val="2"/>
            <charset val="161"/>
          </rPr>
          <t>L+L2</t>
        </r>
        <r>
          <rPr>
            <sz val="8"/>
            <color indexed="81"/>
            <rFont val="Tahoma"/>
            <family val="2"/>
            <charset val="161"/>
          </rPr>
          <t xml:space="preserve"> μέχρι την επιφάνεια</t>
        </r>
        <r>
          <rPr>
            <sz val="8"/>
            <color indexed="81"/>
            <rFont val="Tahoma"/>
            <family val="2"/>
            <charset val="161"/>
          </rPr>
          <t>, έτσι ώστε να υπολογιστεί ο συντελεστής Fovc με αυτή την γωνία. Εάν η γωνία προκύψει μεγαλύτερη από 90ο, τότε λαμβάνετε αυτόματα ο μικρότερος συντελεστής σκίασης.</t>
        </r>
      </text>
    </comment>
    <comment ref="J37" authorId="0">
      <text>
        <r>
          <rPr>
            <sz val="9"/>
            <color indexed="81"/>
            <rFont val="Tahoma"/>
            <family val="2"/>
            <charset val="161"/>
          </rPr>
          <t xml:space="preserve">
</t>
        </r>
        <r>
          <rPr>
            <b/>
            <sz val="9"/>
            <color indexed="81"/>
            <rFont val="Tahoma"/>
            <family val="2"/>
            <charset val="161"/>
          </rPr>
          <t xml:space="preserve">Διείσδυση Αέρα
</t>
        </r>
        <r>
          <rPr>
            <sz val="9"/>
            <color indexed="81"/>
            <rFont val="Tahoma"/>
            <family val="2"/>
            <charset val="161"/>
          </rPr>
          <t>Εάν η επιλογή είναι "</t>
        </r>
        <r>
          <rPr>
            <b/>
            <sz val="9"/>
            <color indexed="81"/>
            <rFont val="Tahoma"/>
            <family val="2"/>
            <charset val="161"/>
          </rPr>
          <t>είδος Α</t>
        </r>
        <r>
          <rPr>
            <sz val="9"/>
            <color indexed="81"/>
            <rFont val="Tahoma"/>
            <family val="2"/>
            <charset val="161"/>
          </rPr>
          <t>" (προεπιλογή) τότε το εμβαδόν της διαφανούς επιφάνειας προστίθεται αυτόματα στο συνολικό εμβαδόν των πορτών εάν η ποδιά είναι 0,00 ή αλλιώς στο συνολικό εμβαδόν των παραθύρων, στην γραμμή του υπολογισμού της διείσδυσης αέρα, στο είδος ανοίγματος Α. 
Εάν η επιλογή είναι "</t>
        </r>
        <r>
          <rPr>
            <b/>
            <sz val="9"/>
            <color indexed="81"/>
            <rFont val="Tahoma"/>
            <family val="2"/>
            <charset val="161"/>
          </rPr>
          <t>είδος Β</t>
        </r>
        <r>
          <rPr>
            <sz val="9"/>
            <color indexed="81"/>
            <rFont val="Tahoma"/>
            <family val="2"/>
            <charset val="161"/>
          </rPr>
          <t>" ή "</t>
        </r>
        <r>
          <rPr>
            <b/>
            <sz val="9"/>
            <color indexed="81"/>
            <rFont val="Tahoma"/>
            <family val="2"/>
            <charset val="161"/>
          </rPr>
          <t>είδος Γ</t>
        </r>
        <r>
          <rPr>
            <sz val="9"/>
            <color indexed="81"/>
            <rFont val="Tahoma"/>
            <family val="2"/>
            <charset val="161"/>
          </rPr>
          <t>" τότε το εμβαδόν της διαφανούς επιφάνειας προστίθεται στο συνολικό εμβαδόν για το άλλο είδος Β ή το άλλο είδος Γ αντίστοιχα (προσοχή, το είδος Β ή Γ θα πρέπει να αφορά μόνο πόρτες ή μόνο παράθυρα διαφορετικού τύπου ανοίγματος από το βασικό είδος Α).
Εάν η επιλογή είναι "</t>
        </r>
        <r>
          <rPr>
            <b/>
            <sz val="9"/>
            <color indexed="81"/>
            <rFont val="Tahoma"/>
            <family val="2"/>
            <charset val="161"/>
          </rPr>
          <t>όχι</t>
        </r>
        <r>
          <rPr>
            <sz val="9"/>
            <color indexed="81"/>
            <rFont val="Tahoma"/>
            <family val="2"/>
            <charset val="161"/>
          </rPr>
          <t xml:space="preserve">", τότε θεωρείται ότι δεν υπάρχει διείσδυση αέρα από την συγκεκριμένη επιφάνεια (πχ μη ανοιγμένο εξωτερικό κούφωμα).
</t>
        </r>
      </text>
    </comment>
    <comment ref="K37" authorId="0">
      <text>
        <r>
          <rPr>
            <sz val="9"/>
            <color indexed="81"/>
            <rFont val="Tahoma"/>
            <family val="2"/>
            <charset val="161"/>
          </rPr>
          <t xml:space="preserve">
Υψομετρική διαφορά από το δάπεδο της ιδιοκτησίας μέχρι το μέγιστο ύψος του απέναντι εμποδίου. 
Για τον υπολογισμό των γωνιών γίνετε αυτόματος υπολογισμός της υψομετρικής διαφοράς του κέντρου του ανοίγματος με το μέγιστο ύψος του απέναντι εμποδίου στην στήλη ΔΗ.</t>
        </r>
      </text>
    </comment>
    <comment ref="L37" authorId="0">
      <text>
        <r>
          <rPr>
            <sz val="9"/>
            <color indexed="81"/>
            <rFont val="Tahoma"/>
            <family val="2"/>
            <charset val="161"/>
          </rPr>
          <t xml:space="preserve">
Καθαρό ύψος ιδιοκτησίας ή ορόφου. 
Για τον υπολογισμό των γωνιών γίνετε αυτόματος υπολογισμός της υψομετρικής διαφοράς του κέντρου του ανοίγματος με το άνω εμπόδιο στην στηλη Η.</t>
        </r>
      </text>
    </comment>
    <comment ref="V37" authorId="0">
      <text>
        <r>
          <rPr>
            <sz val="9"/>
            <color indexed="81"/>
            <rFont val="Tahoma"/>
            <family val="2"/>
            <charset val="161"/>
          </rPr>
          <t xml:space="preserve">
Αυτόματος υπολογισμός βάση των στοιχείων της γραμμής (ΠΡΕΚΙ, ΠΟΔΙΑ, Ηαπεν.). 
</t>
        </r>
        <r>
          <rPr>
            <b/>
            <sz val="9"/>
            <color indexed="81"/>
            <rFont val="Tahoma"/>
            <family val="2"/>
            <charset val="161"/>
          </rPr>
          <t>Hαπεν.:</t>
        </r>
        <r>
          <rPr>
            <sz val="9"/>
            <color indexed="81"/>
            <rFont val="Tahoma"/>
            <family val="2"/>
            <charset val="161"/>
          </rPr>
          <t xml:space="preserve"> υψομετρική διαφορά από το δάπεδο της ιδιοκτησίας μέχρι το μέγιστο ύψος του απέναντι εμποδίου.</t>
        </r>
      </text>
    </comment>
    <comment ref="X37" authorId="0">
      <text>
        <r>
          <rPr>
            <sz val="9"/>
            <color indexed="81"/>
            <rFont val="Tahoma"/>
            <family val="2"/>
            <charset val="161"/>
          </rPr>
          <t xml:space="preserve">
Αυτόματος υπολογισμός βάση των στοιχείων της γραμμής (ΠΡΕΚΙ, ΠΟΔΙΑ, Ηκαθ).</t>
        </r>
      </text>
    </comment>
    <comment ref="H52" authorId="0">
      <text>
        <r>
          <rPr>
            <sz val="8"/>
            <color indexed="81"/>
            <rFont val="Tahoma"/>
            <family val="2"/>
            <charset val="161"/>
          </rPr>
          <t xml:space="preserve">
Αυτόματος υπολογισμός για απλές περιπτώσεις, στο πίνακα 4.3 παρακάτω. Η τιμή
αντιγράφεται αυτόματα και προστίθεται στην απαιτούμενη ισχύς του λέβητα.
Το  ημερήσιο  απαιτούμενο  θερμικό  φορτίο  Qd σε (kWh/day) για Ζ.Ν.Χ. δίνεται από την ακόλουθη σχέση:
                             </t>
        </r>
        <r>
          <rPr>
            <b/>
            <sz val="8"/>
            <color indexed="81"/>
            <rFont val="Tahoma"/>
            <family val="2"/>
            <charset val="161"/>
          </rPr>
          <t>Qd = Vd*(c/3600)*ρ*ΔΤ</t>
        </r>
        <r>
          <rPr>
            <sz val="8"/>
            <color indexed="81"/>
            <rFont val="Tahoma"/>
            <family val="2"/>
            <charset val="161"/>
          </rPr>
          <t xml:space="preserve">
όπου:  Vd [lt/ημέρα]   το ημερήσιο φορτίο,
          ρ   [kg/lt] η πυκνότητα του νερού, ρ = 1 kg/lt,
          c   [kJ/(kg.K)] η ειδική θερμότητα, c = 4,18 kJ/(kg.K),
          ΔΤ [Κ] ή [°C] θερμοκρασιακή διαφορά μεταξύ της χαμηλότερης
               θερμοκρασίας του νερού δικτύου (πίνακας 2.6 σελ.33) και της 
               θερμοκρασίας του Ζ.Ν.Χ. (45 oC - Tθ).
Η θερμική ισχύς Pn, ενός τοπικού θερμαντήρα παραγωγής Ζ.Ν.Χ., συνήθως υπολογίζεται για μέσο χρόνο  απόδοσης  της  συνολικής  ημερήσια  θερμικής  ενέργειας  σε  5  ώρες,  όπως  δίνεται  από  την ακόλουθη σχέση:
                                           </t>
        </r>
        <r>
          <rPr>
            <b/>
            <sz val="8"/>
            <color indexed="81"/>
            <rFont val="Tahoma"/>
            <family val="2"/>
            <charset val="161"/>
          </rPr>
          <t>Pn = Qd / 5</t>
        </r>
      </text>
    </comment>
    <comment ref="C62" authorId="0">
      <text>
        <r>
          <rPr>
            <sz val="9"/>
            <color indexed="81"/>
            <rFont val="Tahoma"/>
            <family val="2"/>
            <charset val="161"/>
          </rPr>
          <t xml:space="preserve">
Εμβαδόν επιφάνειας που θερμαίνεται από κάθε μία αντλία θερμότητας.</t>
        </r>
      </text>
    </comment>
    <comment ref="C70" authorId="0">
      <text>
        <r>
          <rPr>
            <sz val="9"/>
            <color indexed="81"/>
            <rFont val="Tahoma"/>
            <family val="2"/>
            <charset val="161"/>
          </rPr>
          <t xml:space="preserve">
Εμβαδόν επιφάνειας που ψύχεται
από κάθε μία αντλία θερμότητας.</t>
        </r>
      </text>
    </comment>
    <comment ref="J85" authorId="0">
      <text>
        <r>
          <rPr>
            <b/>
            <sz val="9"/>
            <color indexed="81"/>
            <rFont val="Tahoma"/>
            <family val="2"/>
            <charset val="161"/>
          </rPr>
          <t xml:space="preserve">
</t>
        </r>
        <r>
          <rPr>
            <sz val="9"/>
            <color indexed="81"/>
            <rFont val="Tahoma"/>
            <family val="2"/>
            <charset val="161"/>
          </rPr>
          <t>Εάν υπάρχουν φθορές ή διαρροές στην επιφάνεια του συλλέκτη, τότε επιλέγοντας "ναι" γίνετε αυτόματα μείωση του συν.α κατά 20% σύμφωνα με την ΤΟΤΕΕ.</t>
        </r>
      </text>
    </comment>
    <comment ref="K85" authorId="0">
      <text>
        <r>
          <rPr>
            <sz val="9"/>
            <color indexed="81"/>
            <rFont val="Tahoma"/>
            <family val="2"/>
            <charset val="161"/>
          </rPr>
          <t xml:space="preserve">
Αυτόματος υπολογισμός από πινάκες ΤΟΤΕΕ.
Αντί για πόλη, επιτρέπεται η χρήση του </t>
        </r>
        <r>
          <rPr>
            <b/>
            <sz val="9"/>
            <color indexed="81"/>
            <rFont val="Tahoma"/>
            <family val="2"/>
            <charset val="161"/>
          </rPr>
          <t>μέσου όρου</t>
        </r>
        <r>
          <rPr>
            <sz val="9"/>
            <color indexed="81"/>
            <rFont val="Tahoma"/>
            <family val="2"/>
            <charset val="161"/>
          </rPr>
          <t xml:space="preserve"> για οποιαδήποτε περιοχή εγκατάστασης στον Ελλαδικό χώρο. </t>
        </r>
      </text>
    </comment>
    <comment ref="I94" authorId="0">
      <text>
        <r>
          <rPr>
            <sz val="8"/>
            <color indexed="81"/>
            <rFont val="Tahoma"/>
            <family val="2"/>
            <charset val="161"/>
          </rPr>
          <t xml:space="preserve">
Τυπικές τιμές (όχι μέγιστες) φωτεινής δραστικότητας (απόδοσης) λαμπτήρων.
Τύπος λαμπτήρα                                                     Φωτεινή δραστικότητα 
                                                                                       [lm/W]
</t>
        </r>
        <r>
          <rPr>
            <u/>
            <sz val="8"/>
            <color indexed="81"/>
            <rFont val="Tahoma"/>
            <family val="2"/>
            <charset val="161"/>
          </rPr>
          <t xml:space="preserve">Πυράκτωσης                                                                     10 - 18           </t>
        </r>
        <r>
          <rPr>
            <sz val="8"/>
            <color indexed="81"/>
            <rFont val="Tahoma"/>
            <family val="2"/>
            <charset val="161"/>
          </rPr>
          <t xml:space="preserve">
</t>
        </r>
        <r>
          <rPr>
            <u/>
            <sz val="8"/>
            <color indexed="81"/>
            <rFont val="Tahoma"/>
            <family val="2"/>
            <charset val="161"/>
          </rPr>
          <t xml:space="preserve">Αλογόνου                                                                         15 - 25           </t>
        </r>
        <r>
          <rPr>
            <sz val="8"/>
            <color indexed="81"/>
            <rFont val="Tahoma"/>
            <family val="2"/>
            <charset val="161"/>
          </rPr>
          <t xml:space="preserve">
Συμπαγής φθορισμού (συμπεριλαμβανομένου του 
</t>
        </r>
        <r>
          <rPr>
            <u/>
            <sz val="8"/>
            <color indexed="81"/>
            <rFont val="Tahoma"/>
            <family val="2"/>
            <charset val="161"/>
          </rPr>
          <t xml:space="preserve">στραγγαλιστικού πηνίου (ballast))                                       50 - 70           </t>
        </r>
        <r>
          <rPr>
            <sz val="8"/>
            <color indexed="81"/>
            <rFont val="Tahoma"/>
            <family val="2"/>
            <charset val="161"/>
          </rPr>
          <t xml:space="preserve">
Γραμμικός φθορισμού (συμπεριλαμβανομένου του 
</t>
        </r>
        <r>
          <rPr>
            <u/>
            <sz val="8"/>
            <color indexed="81"/>
            <rFont val="Tahoma"/>
            <family val="2"/>
            <charset val="161"/>
          </rPr>
          <t xml:space="preserve">στραγγαλιστικού πηνίου (ballast))                                       60 - 100         </t>
        </r>
        <r>
          <rPr>
            <sz val="8"/>
            <color indexed="81"/>
            <rFont val="Tahoma"/>
            <family val="2"/>
            <charset val="161"/>
          </rPr>
          <t xml:space="preserve">
Αλογονιδίων μετάλλων (συμπεριλαμβανομένου του 
</t>
        </r>
        <r>
          <rPr>
            <u/>
            <sz val="8"/>
            <color indexed="81"/>
            <rFont val="Tahoma"/>
            <family val="2"/>
            <charset val="161"/>
          </rPr>
          <t xml:space="preserve">στραγγαλιστικού πηνίου (ballast))                                       65 - 110         </t>
        </r>
        <r>
          <rPr>
            <sz val="8"/>
            <color indexed="81"/>
            <rFont val="Tahoma"/>
            <family val="2"/>
            <charset val="161"/>
          </rPr>
          <t xml:space="preserve">
Φωτοδίοδοι (LED) (συμπεριλαμβανομένου του οδηγού 
</t>
        </r>
        <r>
          <rPr>
            <u/>
            <sz val="8"/>
            <color indexed="81"/>
            <rFont val="Tahoma"/>
            <family val="2"/>
            <charset val="161"/>
          </rPr>
          <t xml:space="preserve">(driver))                                                                          30 - 60           
</t>
        </r>
        <r>
          <rPr>
            <sz val="8"/>
            <color indexed="81"/>
            <rFont val="Tahoma"/>
            <family val="2"/>
            <charset val="161"/>
          </rPr>
          <t xml:space="preserve">                                                                                      </t>
        </r>
        <r>
          <rPr>
            <i/>
            <sz val="7"/>
            <color indexed="81"/>
            <rFont val="Tahoma"/>
            <family val="2"/>
            <charset val="161"/>
          </rPr>
          <t xml:space="preserve">πιν.5.1 σελ.126
</t>
        </r>
        <r>
          <rPr>
            <sz val="7"/>
            <color indexed="81"/>
            <rFont val="Tahoma"/>
            <family val="2"/>
            <charset val="161"/>
          </rPr>
          <t xml:space="preserve">
Οταν δεν γνωριζουμε την φωτεινη ροη (lm) των εγκατεστημενων λαμπτηρων, μπορουμε να χρησιμοποιησουμε τις τιμες του παραπανω πινακα, αναλογα τον
τυπο του [ φωτεινη ροη (lm) = φωτεινη δραστικοτητα (lm/w) x ισχυ (w) ].</t>
        </r>
      </text>
    </comment>
    <comment ref="K94" authorId="0">
      <text>
        <r>
          <rPr>
            <sz val="9"/>
            <color indexed="81"/>
            <rFont val="Tahoma"/>
            <family val="2"/>
            <charset val="161"/>
          </rPr>
          <t xml:space="preserve">
Αυτόματα υπολογίζεται εάν απαιτείται επιπλέον θεωρητική ισχύς για τον φωτισμό του χώρου λαμβάνοντας υπόψη τα χαρακτηριστικά των εγκατεστημένων λαμπτήρων (ισχύς και φωτισμός).</t>
        </r>
      </text>
    </comment>
  </commentList>
</comments>
</file>

<file path=xl/sharedStrings.xml><?xml version="1.0" encoding="utf-8"?>
<sst xmlns="http://schemas.openxmlformats.org/spreadsheetml/2006/main" count="2306" uniqueCount="726">
  <si>
    <t>ΙΔΙΟΚΤΗΤΗΣ</t>
  </si>
  <si>
    <t xml:space="preserve">ΙΔΙΟΚΤΗΣΙΑ </t>
  </si>
  <si>
    <t>ΔΙΕΥΘΥΝΗΣΗ</t>
  </si>
  <si>
    <t>ΗΜΕΡΟΜΗΝΙΑ</t>
  </si>
  <si>
    <t>ΠΕΡΙΓΡΑΦΗ</t>
  </si>
  <si>
    <t>ΜΗΚΟΣ</t>
  </si>
  <si>
    <t>ΥΨΟΣ</t>
  </si>
  <si>
    <t>ΕΜΒ.</t>
  </si>
  <si>
    <t>Fhor</t>
  </si>
  <si>
    <r>
      <t>γ</t>
    </r>
    <r>
      <rPr>
        <b/>
        <sz val="8"/>
        <color theme="5" tint="-0.499984740745262"/>
        <rFont val="Calibri"/>
        <family val="2"/>
        <charset val="161"/>
        <scheme val="minor"/>
      </rPr>
      <t>(deg)</t>
    </r>
  </si>
  <si>
    <r>
      <t>β</t>
    </r>
    <r>
      <rPr>
        <b/>
        <sz val="8"/>
        <color theme="5" tint="-0.499984740745262"/>
        <rFont val="Calibri"/>
        <family val="2"/>
        <charset val="161"/>
        <scheme val="minor"/>
      </rPr>
      <t>(deg)</t>
    </r>
  </si>
  <si>
    <t>προσ.</t>
  </si>
  <si>
    <t>σελ.72</t>
  </si>
  <si>
    <t>Η</t>
  </si>
  <si>
    <t>Fovh</t>
  </si>
  <si>
    <t>π. 3.18</t>
  </si>
  <si>
    <t>πιν.3.19</t>
  </si>
  <si>
    <t>σελ.74</t>
  </si>
  <si>
    <t>π. 3.20</t>
  </si>
  <si>
    <t>σελ.76</t>
  </si>
  <si>
    <t>ΑΝΟΙΓ.</t>
  </si>
  <si>
    <t>Ffin αρ</t>
  </si>
  <si>
    <t>Ffin δεξ</t>
  </si>
  <si>
    <t>ΕΜΒκ</t>
  </si>
  <si>
    <t>ΠΡΕΚΙ</t>
  </si>
  <si>
    <t>ΠΟΔΙΑ</t>
  </si>
  <si>
    <t>ΕΜΒ</t>
  </si>
  <si>
    <t>Ηαπεν.</t>
  </si>
  <si>
    <t>L+L1</t>
  </si>
  <si>
    <t>Ηκαθ</t>
  </si>
  <si>
    <t>Fov</t>
  </si>
  <si>
    <t>τεντα</t>
  </si>
  <si>
    <t>Γωνία α</t>
  </si>
  <si>
    <t>Περίοδος</t>
  </si>
  <si>
    <t>Προσανατολισμός επιφάνειας</t>
  </si>
  <si>
    <t>θέρμανσης</t>
  </si>
  <si>
    <t>1,00</t>
  </si>
  <si>
    <t>ψύξης</t>
  </si>
  <si>
    <t>0,98</t>
  </si>
  <si>
    <t>0,97</t>
  </si>
  <si>
    <t>0,96</t>
  </si>
  <si>
    <t>0,95</t>
  </si>
  <si>
    <t>0,93</t>
  </si>
  <si>
    <t>0,94</t>
  </si>
  <si>
    <t>0,92</t>
  </si>
  <si>
    <t>0,91</t>
  </si>
  <si>
    <t>0,89</t>
  </si>
  <si>
    <t>0,86</t>
  </si>
  <si>
    <t>0,90</t>
  </si>
  <si>
    <t>0,88</t>
  </si>
  <si>
    <t>0,84</t>
  </si>
  <si>
    <t>0,80</t>
  </si>
  <si>
    <t>0,87</t>
  </si>
  <si>
    <t>0,73</t>
  </si>
  <si>
    <t>0,72</t>
  </si>
  <si>
    <t>0,83</t>
  </si>
  <si>
    <t>0,82</t>
  </si>
  <si>
    <t>0,61</t>
  </si>
  <si>
    <t>0,62</t>
  </si>
  <si>
    <t>0,65</t>
  </si>
  <si>
    <t>0,85</t>
  </si>
  <si>
    <t>0,81</t>
  </si>
  <si>
    <t>0,53</t>
  </si>
  <si>
    <t>0,54</t>
  </si>
  <si>
    <t>0,99</t>
  </si>
  <si>
    <t>0,77</t>
  </si>
  <si>
    <t>0,44</t>
  </si>
  <si>
    <t>0,47</t>
  </si>
  <si>
    <t>0,57</t>
  </si>
  <si>
    <t>0,40</t>
  </si>
  <si>
    <t>0,55</t>
  </si>
  <si>
    <t>0,78</t>
  </si>
  <si>
    <t>0,68</t>
  </si>
  <si>
    <t>0,70</t>
  </si>
  <si>
    <t>0,36</t>
  </si>
  <si>
    <t>0,74</t>
  </si>
  <si>
    <t>0,63</t>
  </si>
  <si>
    <t>0,67</t>
  </si>
  <si>
    <t>0,34</t>
  </si>
  <si>
    <t>0,38</t>
  </si>
  <si>
    <t>0,52</t>
  </si>
  <si>
    <t>0,60</t>
  </si>
  <si>
    <t>0,32</t>
  </si>
  <si>
    <t>0,37</t>
  </si>
  <si>
    <t>0,51</t>
  </si>
  <si>
    <t>0,50</t>
  </si>
  <si>
    <t>0,79</t>
  </si>
  <si>
    <t>0,31</t>
  </si>
  <si>
    <t>0,58</t>
  </si>
  <si>
    <t>Πίνακας 3.18. Συντελεστής σκίασης από ορίζοντα Fhor.h</t>
  </si>
  <si>
    <t>Πίνακας 3.18. Συντελεστής σκίασης από ορίζοντα Fhor.c</t>
  </si>
  <si>
    <t>Γωνία β</t>
  </si>
  <si>
    <t>0,76</t>
  </si>
  <si>
    <t>0,75</t>
  </si>
  <si>
    <t>0,56</t>
  </si>
  <si>
    <t>0,69</t>
  </si>
  <si>
    <t>0,66</t>
  </si>
  <si>
    <t>0,64</t>
  </si>
  <si>
    <t>0,46</t>
  </si>
  <si>
    <t>0,59</t>
  </si>
  <si>
    <t>0,42</t>
  </si>
  <si>
    <t>0,48</t>
  </si>
  <si>
    <t>0,39</t>
  </si>
  <si>
    <t>0,43</t>
  </si>
  <si>
    <t>0,45</t>
  </si>
  <si>
    <t>0,49</t>
  </si>
  <si>
    <t>0,33</t>
  </si>
  <si>
    <t>0,17</t>
  </si>
  <si>
    <t>0,21</t>
  </si>
  <si>
    <t>0,29</t>
  </si>
  <si>
    <t>0,28</t>
  </si>
  <si>
    <t>0,26</t>
  </si>
  <si>
    <t>0,27</t>
  </si>
  <si>
    <t>0,41</t>
  </si>
  <si>
    <t>0,10</t>
  </si>
  <si>
    <t>0,12</t>
  </si>
  <si>
    <t>0,24</t>
  </si>
  <si>
    <t>0,19</t>
  </si>
  <si>
    <t>0,18</t>
  </si>
  <si>
    <t>0,22</t>
  </si>
  <si>
    <t>0,30</t>
  </si>
  <si>
    <t>Γωνία γ</t>
  </si>
  <si>
    <t>0,71</t>
  </si>
  <si>
    <t>Fhorh</t>
  </si>
  <si>
    <t>Fhorc</t>
  </si>
  <si>
    <t>Fovc</t>
  </si>
  <si>
    <t>Ffinh</t>
  </si>
  <si>
    <t>Ffinc</t>
  </si>
  <si>
    <t>αριστερα</t>
  </si>
  <si>
    <t>δεξια</t>
  </si>
  <si>
    <t>1. ΓΕΝΙΚΑ ΣΤΟΙΧΕΙΑ</t>
  </si>
  <si>
    <r>
      <t>Πίνακας 3.19. Συντελεστής σκίασης από οριζόντιους προβόλους F</t>
    </r>
    <r>
      <rPr>
        <b/>
        <i/>
        <vertAlign val="subscript"/>
        <sz val="10"/>
        <rFont val="Arial"/>
        <family val="2"/>
        <charset val="161"/>
      </rPr>
      <t>ov</t>
    </r>
    <r>
      <rPr>
        <b/>
        <i/>
        <sz val="10"/>
        <rFont val="Arial"/>
        <family val="2"/>
        <charset val="161"/>
      </rPr>
      <t>.h</t>
    </r>
  </si>
  <si>
    <r>
      <t>Πίνακας 3.19. Συντελεστής σκίασης από οριζόντιους προβόλους F</t>
    </r>
    <r>
      <rPr>
        <b/>
        <i/>
        <vertAlign val="subscript"/>
        <sz val="10"/>
        <rFont val="Arial"/>
        <family val="2"/>
        <charset val="161"/>
      </rPr>
      <t>ov</t>
    </r>
    <r>
      <rPr>
        <b/>
        <i/>
        <sz val="10"/>
        <rFont val="Arial"/>
        <family val="2"/>
        <charset val="161"/>
      </rPr>
      <t>.c</t>
    </r>
  </si>
  <si>
    <r>
      <t>Πίνακας 3.20.β</t>
    </r>
    <r>
      <rPr>
        <i/>
        <sz val="10"/>
        <rFont val="Arial"/>
        <family val="2"/>
        <charset val="161"/>
      </rPr>
      <t xml:space="preserve"> Συντελεστής σκίασης από πλευρικές προεξοχές Ffn από την </t>
    </r>
    <r>
      <rPr>
        <b/>
        <i/>
        <sz val="10"/>
        <rFont val="Arial"/>
        <family val="2"/>
        <charset val="161"/>
      </rPr>
      <t>δεξιά</t>
    </r>
    <r>
      <rPr>
        <i/>
        <sz val="10"/>
        <rFont val="Arial"/>
        <family val="2"/>
        <charset val="161"/>
      </rPr>
      <t xml:space="preserve"> πλευρά.</t>
    </r>
  </si>
  <si>
    <r>
      <t>Πίνακας 3.20.α</t>
    </r>
    <r>
      <rPr>
        <i/>
        <sz val="10"/>
        <rFont val="Arial"/>
        <family val="2"/>
        <charset val="161"/>
      </rPr>
      <t xml:space="preserve"> Συντελεστής σκίασης από πλευρικές προεξοχές Ffn από την </t>
    </r>
    <r>
      <rPr>
        <b/>
        <i/>
        <sz val="10"/>
        <rFont val="Arial"/>
        <family val="2"/>
        <charset val="161"/>
      </rPr>
      <t>αριστερή</t>
    </r>
    <r>
      <rPr>
        <i/>
        <sz val="10"/>
        <rFont val="Arial"/>
        <family val="2"/>
        <charset val="161"/>
      </rPr>
      <t xml:space="preserve"> πλευρά.</t>
    </r>
  </si>
  <si>
    <t>4. ΣΥΣΤΗΜΑ ΘΕΡΜΑΝΣΗΣ</t>
  </si>
  <si>
    <t>Α' κλιματική ζώνη</t>
  </si>
  <si>
    <t>Β' κλιματική ζώνη</t>
  </si>
  <si>
    <t>Γ' κλιματική ζώνη</t>
  </si>
  <si>
    <t>Δ' κλιματική ζώνη</t>
  </si>
  <si>
    <t>Συντ. Θερμ. Um (W/m2k)</t>
  </si>
  <si>
    <t>Επιλογη κλιμ. Ζωνης (ΔΤ oC)</t>
  </si>
  <si>
    <t>πριν την εφαρμογη ΚΘΚ (προ 1980)</t>
  </si>
  <si>
    <t>μετα την εφαρμογη ΚΘΚ - Α κλιμ. Ζωνη</t>
  </si>
  <si>
    <t>μετα την εφαρμογη ΚΘΚ - Β κλιμ. Ζωνη</t>
  </si>
  <si>
    <t>μετα την εφαρμογη ΚΘΚ - Γ κλιμ. Ζωνη</t>
  </si>
  <si>
    <t>συμφωνα με την μελετη Κ.Εν.Α.Κ.</t>
  </si>
  <si>
    <t>τιμη</t>
  </si>
  <si>
    <t>ΥΠΟΛΟΓΙΣΜΟΣ ΑΠΑΙΤ. ΙΣΧΥΣ Pgen</t>
  </si>
  <si>
    <t>Βαθμος Aποδ. ngm :</t>
  </si>
  <si>
    <t>Pm</t>
  </si>
  <si>
    <t>Pgen</t>
  </si>
  <si>
    <t>Pm/Pgen</t>
  </si>
  <si>
    <t>ng1</t>
  </si>
  <si>
    <t>ng2</t>
  </si>
  <si>
    <t>Καλή μόνωση</t>
  </si>
  <si>
    <t>κακή μόνωση</t>
  </si>
  <si>
    <t>λεβητας με:</t>
  </si>
  <si>
    <r>
      <t>Συνολικός Β.Απ. n</t>
    </r>
    <r>
      <rPr>
        <sz val="8"/>
        <color theme="5" tint="-0.499984740745262"/>
        <rFont val="Calibri"/>
        <family val="2"/>
        <charset val="161"/>
        <scheme val="minor"/>
      </rPr>
      <t>gen</t>
    </r>
  </si>
  <si>
    <r>
      <t xml:space="preserve">ΠΡΑΓΜ. ΙΣΧΥΣ Pm </t>
    </r>
    <r>
      <rPr>
        <sz val="8"/>
        <color theme="5" tint="-0.499984740745262"/>
        <rFont val="Calibri"/>
        <family val="2"/>
        <charset val="161"/>
        <scheme val="minor"/>
      </rPr>
      <t>KW</t>
    </r>
    <r>
      <rPr>
        <sz val="10"/>
        <color theme="5" tint="-0.499984740745262"/>
        <rFont val="Calibri"/>
        <family val="2"/>
        <charset val="161"/>
        <scheme val="minor"/>
      </rPr>
      <t>:</t>
    </r>
  </si>
  <si>
    <t>θεωρητικό σύστημα;</t>
  </si>
  <si>
    <t>ΔΙΚΤΥΟ ΔΙΑΝΟΜΗΣ</t>
  </si>
  <si>
    <t>ΙΣΧΥΣ</t>
  </si>
  <si>
    <t>% κλαδου:</t>
  </si>
  <si>
    <t>διέλευση σε εσ. ή/και 20% σε εξ.</t>
  </si>
  <si>
    <t>διέλευση &gt;20% σε εξ. Χωρους</t>
  </si>
  <si>
    <t>δικτυο με υψηλες θερμ. &gt;60οC</t>
  </si>
  <si>
    <t>δικτυο με χαμηλες θερμ. &lt;60οC</t>
  </si>
  <si>
    <t>μονωση κτιριου αναφορας</t>
  </si>
  <si>
    <t>μονωση ιση με την ακτινα σωληνων</t>
  </si>
  <si>
    <t>ανεπαρκης μονωση</t>
  </si>
  <si>
    <t>χωρις μονωση</t>
  </si>
  <si>
    <t>ισχυς δικτυου διανομης</t>
  </si>
  <si>
    <t>Β.Απ. Δικτύου</t>
  </si>
  <si>
    <t>ΤΙΜΗ ΑΠΌ ΠΙΝΑΚΑ</t>
  </si>
  <si>
    <t>ΒΑΘΜΟΣ ΑΠΟΔ.</t>
  </si>
  <si>
    <t>ΤΕΡΜΑΤΙΚΕΣ ΜΟΝΑΔΕΣ</t>
  </si>
  <si>
    <t>Β.Απ. Τερμ. Μοναδων</t>
  </si>
  <si>
    <t>frad</t>
  </si>
  <si>
    <t>υψος χωρου = ή &gt; 4m</t>
  </si>
  <si>
    <t>υψος χωρου &lt; 4m</t>
  </si>
  <si>
    <t>με ανακυκλοφορια αερα</t>
  </si>
  <si>
    <t>fim</t>
  </si>
  <si>
    <t>με συνεχη λειτουργια</t>
  </si>
  <si>
    <t>με διακοπτομενη λειτουργια</t>
  </si>
  <si>
    <t>fhydr</t>
  </si>
  <si>
    <t>υδραυλικα εξισορροπημενο συστημα</t>
  </si>
  <si>
    <t>συστημα εκτος ισορροπιας</t>
  </si>
  <si>
    <t>nem</t>
  </si>
  <si>
    <t>αμεσης αποδοσης σε εσωτ. Τοιχο</t>
  </si>
  <si>
    <t>αμεσης αποδοσης σε εξωτ. Τοιχο</t>
  </si>
  <si>
    <t>ενδοδαπεδιο συστημα θερμανσης</t>
  </si>
  <si>
    <t>ενδοτοιχιο συστημα θερμανσης</t>
  </si>
  <si>
    <t>συστημα θερμανσης οροφης</t>
  </si>
  <si>
    <t>θερμ. μεσου 90 - 70 οC</t>
  </si>
  <si>
    <t>θερμ. μεσου 70 - 50 οC</t>
  </si>
  <si>
    <t>θερμ. μεσου 50 - 35 οC</t>
  </si>
  <si>
    <t>no</t>
  </si>
  <si>
    <t>ΒΟΗΘΗΤΙΚΕΣ ΜΟΝΑΔΕΣ</t>
  </si>
  <si>
    <t>αριθμ.</t>
  </si>
  <si>
    <t>χιλιοστ</t>
  </si>
  <si>
    <t>διαμερ.</t>
  </si>
  <si>
    <t>ισχυς</t>
  </si>
  <si>
    <t>(w)</t>
  </si>
  <si>
    <t>Kcal =</t>
  </si>
  <si>
    <t>Kw ]</t>
  </si>
  <si>
    <t>θερμ. επιφανεια</t>
  </si>
  <si>
    <t>ποσοστο</t>
  </si>
  <si>
    <t>HEATING INPUT</t>
  </si>
  <si>
    <t>POWER [Kw]</t>
  </si>
  <si>
    <t>HEATING CAPACITY</t>
  </si>
  <si>
    <t>[ Kw ]</t>
  </si>
  <si>
    <t>Β. Αποδοσης</t>
  </si>
  <si>
    <t>C.O.P.</t>
  </si>
  <si>
    <t>5. ΣΥΣΤΗΜΑ ΨΥΞΗΣ</t>
  </si>
  <si>
    <t>COOLING INPUT</t>
  </si>
  <si>
    <t>COOLING CAPACITY</t>
  </si>
  <si>
    <t>E.E.R.</t>
  </si>
  <si>
    <t>6. ΖΕΣΤΟ ΝΕΡΟ ΧΡΗΣΗΣ (ΖΝΧ)</t>
  </si>
  <si>
    <t>7. ΗΛΙΑΚΟΣ ΣΥΛΛΕΚΤΗΣ</t>
  </si>
  <si>
    <t>(Kw)</t>
  </si>
  <si>
    <t>www.gzafeirakis.gr | ©2017</t>
  </si>
  <si>
    <t>Εξωτ. επιφανεια κτιριου (τ.μ.):</t>
  </si>
  <si>
    <t>Συντελεστης προσαυξησης:</t>
  </si>
  <si>
    <t>[ BTU ]       ή</t>
  </si>
  <si>
    <t>[F=1,00 καθολου σκια &amp; F=0,00 πληρης σκια]</t>
  </si>
  <si>
    <t>Συνολ. επιφαν.</t>
  </si>
  <si>
    <t>Β.Απ.</t>
  </si>
  <si>
    <t>ΔΙΚΤΥΟ</t>
  </si>
  <si>
    <t>ποσ.</t>
  </si>
  <si>
    <t>ΑΠΟΘΗΚΕΥΣΗ</t>
  </si>
  <si>
    <t>ΤΥΠΟΣ</t>
  </si>
  <si>
    <t>Αριθμ.</t>
  </si>
  <si>
    <t>πιν 4.16</t>
  </si>
  <si>
    <t>*εάν  &lt;10lt/ατ/d τοτε τοπικος ηλεκτ. Θερμαντηρας</t>
  </si>
  <si>
    <t>τοπικος ηλεκτ. Θερμαντ.</t>
  </si>
  <si>
    <t>σε εσωτ. χωρους</t>
  </si>
  <si>
    <t>ΖΝΧ</t>
  </si>
  <si>
    <t>θερμ.</t>
  </si>
  <si>
    <t>συν.α</t>
  </si>
  <si>
    <t>συν.β</t>
  </si>
  <si>
    <t>γ(deg)</t>
  </si>
  <si>
    <t>β(deg)</t>
  </si>
  <si>
    <t>F_s</t>
  </si>
  <si>
    <t>ναι</t>
  </si>
  <si>
    <t>όχι</t>
  </si>
  <si>
    <t>-</t>
  </si>
  <si>
    <t>σελ.122</t>
  </si>
  <si>
    <t>κτηματολ.:</t>
  </si>
  <si>
    <t>Α.Π. ΠΕΑ:</t>
  </si>
  <si>
    <t>Α.Α. ΠΕΑ:</t>
  </si>
  <si>
    <t>[προ '79:ΟΧΙ, μετα '79:ΝΑΙ ή πιν.3.6 σελ.51]</t>
  </si>
  <si>
    <t>μονοκατοικια, πολυκατοικια</t>
  </si>
  <si>
    <t>ξενοδοχειο ετησιας λειτουργιας</t>
  </si>
  <si>
    <t>ξενοδοχειο θερινης λειτουργιας</t>
  </si>
  <si>
    <t>ξενοδοχειο χειμερινης λειτουργιας</t>
  </si>
  <si>
    <t>ξενωνας ετησιας λειτουργιας</t>
  </si>
  <si>
    <t>ξενωνας θερινης λειτουργιας</t>
  </si>
  <si>
    <t>ξενωνας χειμερινης λειτουργιας</t>
  </si>
  <si>
    <t>οικοτροφειο και κοιτωνας</t>
  </si>
  <si>
    <t>υπνοδωματιο ξενοδοχειου, οικοτροφειου, κα</t>
  </si>
  <si>
    <t>κοινοχρηστος χωρος ξενοδοχειου, οικοτροφειου, κα</t>
  </si>
  <si>
    <t>εστιατοριο</t>
  </si>
  <si>
    <t>ζαχαροπλαστειο, καφενειο</t>
  </si>
  <si>
    <t>νυχτερινο κεντρο διασκεδασης, μουσικη σκηνη</t>
  </si>
  <si>
    <t>θεατρο, κινηματογραφος</t>
  </si>
  <si>
    <t>χωρος συναυλιων</t>
  </si>
  <si>
    <t>χωρος εκθεσεων, μουσειο</t>
  </si>
  <si>
    <t>χωρος συνεδριων, αμφιθεατρο, αιθουσα δικαστηριων</t>
  </si>
  <si>
    <t>τραπεζα</t>
  </si>
  <si>
    <t>αιθουσα πολλαπλων χρησεων</t>
  </si>
  <si>
    <t>κλειστο γυμναστηριο, κλειστο κολυμβητηριο</t>
  </si>
  <si>
    <t>διαδρομοι και αλλοι κοινοχρηστοι βοηθητικοι χωροι</t>
  </si>
  <si>
    <t>λουτρο (κοινοχρηστο)</t>
  </si>
  <si>
    <t>νηπιαγωγειο</t>
  </si>
  <si>
    <t>πρωτοβαθμια εκπαιδευση, δευτεροβαθμια εκπαιδευση</t>
  </si>
  <si>
    <t>τριτοβαθμια εκπαιδευση, αιθουσα διδασκαλιας</t>
  </si>
  <si>
    <t>φροντηστηριο, ωδειο</t>
  </si>
  <si>
    <t>νοσοκομειο, κλινικη</t>
  </si>
  <si>
    <t>νοσοκομειο, αιθουσα ασθενων (δωματιο)</t>
  </si>
  <si>
    <t>νοσοκομειο, χειρουργειο (τακτικο)</t>
  </si>
  <si>
    <t>νοσοκομειο, εξωτερικων ιατρειων</t>
  </si>
  <si>
    <t>νοσοκομειο, αιθουσες αναμονης</t>
  </si>
  <si>
    <t>αγροτικο ιατρειο, υγειονομικος σταθμος, κεντρο υγειας, ιατρειο</t>
  </si>
  <si>
    <t>ψυχειατρειο, ιδρυμα ατομων με ειδικες αναγκες</t>
  </si>
  <si>
    <t>ιδρυμα χρονιως πασχοντων, οικος ευγηριας, βρεφοκομεια</t>
  </si>
  <si>
    <t>βρεφικος σταθμος, παιδικος σταθμος</t>
  </si>
  <si>
    <t>κρατητηριο, αναμορφωτηριο, φυλακη</t>
  </si>
  <si>
    <t>αστυνομικη διευθυνση</t>
  </si>
  <si>
    <t>εμπορικο κεντρο, αγορα και υπεραγορα</t>
  </si>
  <si>
    <t>καταστημα, φαρμακειο</t>
  </si>
  <si>
    <t>ινστιτουτο γυμναστικης</t>
  </si>
  <si>
    <t>κουρειο, κομμωτηριο</t>
  </si>
  <si>
    <t>γραφειο</t>
  </si>
  <si>
    <t>βιβλιοθηκη</t>
  </si>
  <si>
    <t>[χρηση κτιριου ή κτιριακης μοναδας]</t>
  </si>
  <si>
    <t>ΕΝΕΡΓΕΙΑΚΗ ΕΠΙΘΕΩΡΗΣΗ ΚΤΙΡΙΟΥ - ΚΤΙΡΙΑΚΗΣ ΜΟΝΑΔΑΣ</t>
  </si>
  <si>
    <t>ΖΝΧ / ετος</t>
  </si>
  <si>
    <t>κμ/κλινη/ετος</t>
  </si>
  <si>
    <t>κμ/τμ/ετος:</t>
  </si>
  <si>
    <t>πιν. 2.5</t>
  </si>
  <si>
    <r>
      <t xml:space="preserve">σύμφωνα με την </t>
    </r>
    <r>
      <rPr>
        <b/>
        <sz val="7"/>
        <color rgb="FF002060"/>
        <rFont val="Calibri"/>
        <family val="2"/>
        <charset val="161"/>
        <scheme val="minor"/>
      </rPr>
      <t>TOTEE-20701-1 / 2010</t>
    </r>
  </si>
  <si>
    <r>
      <t>E.E.R. [</t>
    </r>
    <r>
      <rPr>
        <b/>
        <i/>
        <sz val="9"/>
        <color theme="7" tint="-0.499984740745262"/>
        <rFont val="Calibri"/>
        <family val="2"/>
        <charset val="161"/>
        <scheme val="minor"/>
      </rPr>
      <t>3,00</t>
    </r>
    <r>
      <rPr>
        <i/>
        <sz val="9"/>
        <color theme="7" tint="-0.499984740745262"/>
        <rFont val="Calibri"/>
        <family val="2"/>
        <charset val="161"/>
        <scheme val="minor"/>
      </rPr>
      <t xml:space="preserve"> / 2,80]</t>
    </r>
  </si>
  <si>
    <r>
      <t>U</t>
    </r>
    <r>
      <rPr>
        <sz val="9"/>
        <color theme="1"/>
        <rFont val="Calibri"/>
        <family val="2"/>
        <charset val="161"/>
        <scheme val="minor"/>
      </rPr>
      <t>τ</t>
    </r>
  </si>
  <si>
    <t>αργολιθοδομη</t>
  </si>
  <si>
    <t>επιλογή τύπου</t>
  </si>
  <si>
    <t>θεωρ. συστ.* | λεβ.πετρελαιου</t>
  </si>
  <si>
    <t>[κοιτώντας το κτιριο εξωτερικά]</t>
  </si>
  <si>
    <t>m3/h/m2</t>
  </si>
  <si>
    <t>Νωπος αερας</t>
  </si>
  <si>
    <t>φωτισμος</t>
  </si>
  <si>
    <t>σταθμη φωτισμου [lx]=lm/m2</t>
  </si>
  <si>
    <t>+20%απωλ. για εξ. Δικτυο</t>
  </si>
  <si>
    <t>ΒΟΗΘΗΤΙΚΟΙ ΕΝΔΙΑΜΕΣΟΙ ΥΠΟΛΟΓΙΣΜΟΙ</t>
  </si>
  <si>
    <t>ΟΧΙ</t>
  </si>
  <si>
    <t>Εμβ. τμ</t>
  </si>
  <si>
    <t>ΧΡΗΣΗ ΧΩΡΟΥ</t>
  </si>
  <si>
    <t>ΠΡΑΓΜΑΤΙΚΗ</t>
  </si>
  <si>
    <t>ΑΠΑΙΤΟΥΜΕΝΗ</t>
  </si>
  <si>
    <t>ΑΠΑΙΤΟΥΜΕΝΟΣ</t>
  </si>
  <si>
    <t>ΙΣΧΥΣ [Κw]</t>
  </si>
  <si>
    <t>ΕΓΚΑΤΕΣΤΗΜΕΝΗ</t>
  </si>
  <si>
    <t>ΧΩΡΟΥ [ lm ]</t>
  </si>
  <si>
    <t>ΦΩΤΙΣΜΟΣ</t>
  </si>
  <si>
    <t>ΕΠΙΠΛΕΟΝ</t>
  </si>
  <si>
    <t>ΘΕΩΡ. ΙΣΧΥΣ Κw</t>
  </si>
  <si>
    <t>ΧΩΡΟΥ [Κw]</t>
  </si>
  <si>
    <t>ΣΥΝΟΛ. ΙΣΧΥΣ</t>
  </si>
  <si>
    <t>ΣΥΝΟΛΟ ΚΤΙΡΙΟΥ ή ΚΤΙΡΙΑΚΗΣ ΜΟΝΑΔΑΣ</t>
  </si>
  <si>
    <t>%</t>
  </si>
  <si>
    <t>ΠΕΡΙΟΧΗ ΦΦ τμ</t>
  </si>
  <si>
    <t>ΦΩΤΙΣΜΟΣ [ lm ]</t>
  </si>
  <si>
    <r>
      <t xml:space="preserve">   εκτίνεται </t>
    </r>
    <r>
      <rPr>
        <b/>
        <i/>
        <sz val="9"/>
        <color theme="7" tint="-0.499984740745262"/>
        <rFont val="Calibri"/>
        <family val="2"/>
        <charset val="161"/>
        <scheme val="minor"/>
      </rPr>
      <t>1,5 m πέρα από τα όρια</t>
    </r>
    <r>
      <rPr>
        <i/>
        <sz val="9"/>
        <color theme="7" tint="-0.499984740745262"/>
        <rFont val="Calibri"/>
        <family val="2"/>
        <charset val="161"/>
        <scheme val="minor"/>
      </rPr>
      <t xml:space="preserve"> της προβολής του ανοίγματος επί της επιφάνειας εργασίας.</t>
    </r>
  </si>
  <si>
    <r>
      <t xml:space="preserve">E_vent </t>
    </r>
    <r>
      <rPr>
        <sz val="7"/>
        <color theme="1"/>
        <rFont val="Calibri"/>
        <family val="2"/>
        <charset val="161"/>
        <scheme val="minor"/>
      </rPr>
      <t>(kw/m3/s)</t>
    </r>
  </si>
  <si>
    <t>ΙΣΧΥΣ [Kw]</t>
  </si>
  <si>
    <t>ΠΑΡΟΧΗ ΝΩΠΟΥ ΑΕΡΑ [m3/h]</t>
  </si>
  <si>
    <t>E_vent</t>
  </si>
  <si>
    <r>
      <t xml:space="preserve">ΠΑΡΟΧΗ </t>
    </r>
    <r>
      <rPr>
        <sz val="7"/>
        <rFont val="Calibri"/>
        <family val="2"/>
        <charset val="161"/>
        <scheme val="minor"/>
      </rPr>
      <t>[m3/h]</t>
    </r>
  </si>
  <si>
    <t>Τμ. θερ.:</t>
  </si>
  <si>
    <t>Τμ. ψυξ.:</t>
  </si>
  <si>
    <t>R_h</t>
  </si>
  <si>
    <t>Q_r_h</t>
  </si>
  <si>
    <t>R_c</t>
  </si>
  <si>
    <t>Q_r_c</t>
  </si>
  <si>
    <r>
      <t>-</t>
    </r>
    <r>
      <rPr>
        <i/>
        <sz val="9"/>
        <color theme="7" tint="-0.499984740745262"/>
        <rFont val="Calibri"/>
        <family val="2"/>
        <charset val="161"/>
        <scheme val="minor"/>
      </rPr>
      <t xml:space="preserve"> από κατακόρυφα πλευρικά ανοίγματα η περιοχή προς το εσωτερικό του χώρου σε </t>
    </r>
    <r>
      <rPr>
        <b/>
        <i/>
        <sz val="9"/>
        <color theme="7" tint="-0.499984740745262"/>
        <rFont val="Calibri"/>
        <family val="2"/>
        <charset val="161"/>
        <scheme val="minor"/>
      </rPr>
      <t>απόσταση</t>
    </r>
    <r>
      <rPr>
        <i/>
        <sz val="9"/>
        <color theme="7" tint="-0.499984740745262"/>
        <rFont val="Calibri"/>
        <family val="2"/>
        <charset val="161"/>
        <scheme val="minor"/>
      </rPr>
      <t/>
    </r>
  </si>
  <si>
    <r>
      <t xml:space="preserve">    </t>
    </r>
    <r>
      <rPr>
        <b/>
        <i/>
        <sz val="9"/>
        <color theme="7" tint="-0.499984740745262"/>
        <rFont val="Calibri"/>
        <family val="2"/>
        <charset val="161"/>
        <scheme val="minor"/>
      </rPr>
      <t>(βάθος) 4m</t>
    </r>
    <r>
      <rPr>
        <i/>
        <sz val="9"/>
        <color theme="7" tint="-0.499984740745262"/>
        <rFont val="Calibri"/>
        <family val="2"/>
        <charset val="161"/>
        <scheme val="minor"/>
      </rPr>
      <t xml:space="preserve"> και με πλάτος ίσο με το πλάτος του ανοίγματος </t>
    </r>
    <r>
      <rPr>
        <b/>
        <i/>
        <sz val="9"/>
        <color theme="7" tint="-0.499984740745262"/>
        <rFont val="Calibri"/>
        <family val="2"/>
        <charset val="161"/>
        <scheme val="minor"/>
      </rPr>
      <t>αυξημένο κατά δύο μέτρα</t>
    </r>
    <r>
      <rPr>
        <i/>
        <sz val="9"/>
        <color theme="7" tint="-0.499984740745262"/>
        <rFont val="Calibri"/>
        <family val="2"/>
        <charset val="161"/>
        <scheme val="minor"/>
      </rPr>
      <t>.</t>
    </r>
  </si>
  <si>
    <r>
      <t xml:space="preserve">- από οριζόντια ανοίγματα οροφής η </t>
    </r>
    <r>
      <rPr>
        <b/>
        <i/>
        <sz val="9"/>
        <color theme="7" tint="-0.499984740745262"/>
        <rFont val="Calibri"/>
        <family val="2"/>
        <charset val="161"/>
        <scheme val="minor"/>
      </rPr>
      <t>περιοχή που βρίσκεται κάτω</t>
    </r>
    <r>
      <rPr>
        <i/>
        <sz val="9"/>
        <color theme="7" tint="-0.499984740745262"/>
        <rFont val="Calibri"/>
        <family val="2"/>
        <charset val="161"/>
        <scheme val="minor"/>
      </rPr>
      <t xml:space="preserve"> από το άνοιγμα οροφής και</t>
    </r>
  </si>
  <si>
    <t>H_r</t>
  </si>
  <si>
    <t>Τμ. υγρ.</t>
  </si>
  <si>
    <t>Εάν δεν έχετε προσθέσει γραμμές, απαιτείται η εκτύπωση των τριών πρώτων σελίδων, αλλιώς μέχρι αυτό το σημείο.</t>
  </si>
  <si>
    <t xml:space="preserve">   Για ευκολία του επιθεωρητή, ορίζεται ως περιοχή φυσικού φωτισμού:</t>
  </si>
  <si>
    <t>Εκτύπωση των σελίδων με τα αποτελέσματα και αντιγραφή τους στο λογισμικό του Τ.Ε.Ε.</t>
  </si>
  <si>
    <t>end print</t>
  </si>
  <si>
    <r>
      <t xml:space="preserve">Ο χρήστης έχει την </t>
    </r>
    <r>
      <rPr>
        <b/>
        <sz val="11.5"/>
        <color rgb="FFFFC000"/>
        <rFont val="Calibri"/>
        <family val="2"/>
        <charset val="161"/>
        <scheme val="minor"/>
      </rPr>
      <t>αποκλειστική ευθύνη</t>
    </r>
    <r>
      <rPr>
        <sz val="11.5"/>
        <color rgb="FFFFC000"/>
        <rFont val="Calibri"/>
        <family val="2"/>
        <charset val="161"/>
        <scheme val="minor"/>
      </rPr>
      <t xml:space="preserve"> της ορθότητας των τιμών και των υπολογισμών, και της τήρησης των τεχνικών οδηγιών του Τ.Ε.Ε.   </t>
    </r>
  </si>
  <si>
    <r>
      <t xml:space="preserve">+ Pn boiler ZNX </t>
    </r>
    <r>
      <rPr>
        <sz val="8"/>
        <color theme="9" tint="-0.499984740745262"/>
        <rFont val="Calibri"/>
        <family val="2"/>
        <charset val="161"/>
        <scheme val="minor"/>
      </rPr>
      <t>(Kw)</t>
    </r>
    <r>
      <rPr>
        <sz val="10"/>
        <color theme="9" tint="-0.499984740745262"/>
        <rFont val="Calibri"/>
        <family val="2"/>
        <charset val="161"/>
        <scheme val="minor"/>
      </rPr>
      <t>:</t>
    </r>
  </si>
  <si>
    <t>[ονοματεπώνυμο]</t>
  </si>
  <si>
    <t>[θέση ακινήτου]</t>
  </si>
  <si>
    <t>[ημερομηνία επιθεώρησης]</t>
  </si>
  <si>
    <t>ΣΤΟΙΧΕΙΑ ΕΡΓΟΥ</t>
  </si>
  <si>
    <r>
      <t>L</t>
    </r>
    <r>
      <rPr>
        <sz val="10"/>
        <color theme="1"/>
        <rFont val="Calibri"/>
        <family val="2"/>
        <charset val="161"/>
        <scheme val="minor"/>
      </rPr>
      <t>2</t>
    </r>
  </si>
  <si>
    <r>
      <t>Η</t>
    </r>
    <r>
      <rPr>
        <sz val="10"/>
        <color theme="1"/>
        <rFont val="Calibri"/>
        <family val="2"/>
        <charset val="161"/>
        <scheme val="minor"/>
      </rPr>
      <t>2</t>
    </r>
  </si>
  <si>
    <t>L3</t>
  </si>
  <si>
    <t>L+L2</t>
  </si>
  <si>
    <t>H2</t>
  </si>
  <si>
    <t>L3+L/2</t>
  </si>
  <si>
    <t>L1</t>
  </si>
  <si>
    <r>
      <t>Η</t>
    </r>
    <r>
      <rPr>
        <sz val="9"/>
        <color theme="1"/>
        <rFont val="Calibri"/>
        <family val="2"/>
        <charset val="161"/>
        <scheme val="minor"/>
      </rPr>
      <t>καθ</t>
    </r>
    <r>
      <rPr>
        <sz val="11"/>
        <color theme="1"/>
        <rFont val="Calibri"/>
        <family val="2"/>
        <charset val="161"/>
        <scheme val="minor"/>
      </rPr>
      <t>/2</t>
    </r>
  </si>
  <si>
    <r>
      <t>W</t>
    </r>
    <r>
      <rPr>
        <sz val="9"/>
        <color theme="1"/>
        <rFont val="Calibri"/>
        <family val="2"/>
        <charset val="161"/>
        <scheme val="minor"/>
      </rPr>
      <t>σκ</t>
    </r>
  </si>
  <si>
    <t>ΔΗ</t>
  </si>
  <si>
    <r>
      <t>W+W</t>
    </r>
    <r>
      <rPr>
        <sz val="9"/>
        <color theme="1"/>
        <rFont val="Calibri"/>
        <family val="2"/>
        <charset val="161"/>
        <scheme val="minor"/>
      </rPr>
      <t>σκ</t>
    </r>
  </si>
  <si>
    <r>
      <t xml:space="preserve">ΑΝΤΛΙΑ ΘΕΡΜΟΤΗΤΑΣ </t>
    </r>
    <r>
      <rPr>
        <sz val="9"/>
        <color theme="1"/>
        <rFont val="Calibri"/>
        <family val="2"/>
        <charset val="161"/>
        <scheme val="minor"/>
      </rPr>
      <t>(για τοπικο συστημα)</t>
    </r>
  </si>
  <si>
    <t>*ΛΕΒΗΤΑΣ (για τοπικό σύστημα) :</t>
  </si>
  <si>
    <r>
      <t>8. ΜΗΧΑΝΙΚΟΣ ΑΕΡΙΣΜΟΣ</t>
    </r>
    <r>
      <rPr>
        <sz val="11"/>
        <color theme="1"/>
        <rFont val="Calibri"/>
        <family val="2"/>
        <charset val="161"/>
        <scheme val="minor"/>
      </rPr>
      <t>**</t>
    </r>
  </si>
  <si>
    <t xml:space="preserve">*** Ποσοστό του κτηρίου ή της θερμικής ζώνης που καλύπτεται με φυσικό φωτισμό: </t>
  </si>
  <si>
    <r>
      <rPr>
        <i/>
        <sz val="9"/>
        <color theme="7" tint="-0.499984740745262"/>
        <rFont val="Calibri"/>
        <family val="2"/>
        <charset val="161"/>
        <scheme val="minor"/>
      </rPr>
      <t xml:space="preserve">** Σε περίπτωση που ένα κτίριο κατοικίας διαθέτει μηχανικό αερισμό, τότε </t>
    </r>
    <r>
      <rPr>
        <b/>
        <i/>
        <sz val="9"/>
        <color theme="7" tint="-0.499984740745262"/>
        <rFont val="Calibri"/>
        <family val="2"/>
        <charset val="161"/>
        <scheme val="minor"/>
      </rPr>
      <t>λαμβάνεται υπόψη</t>
    </r>
    <r>
      <rPr>
        <i/>
        <sz val="9"/>
        <color theme="7" tint="-0.499984740745262"/>
        <rFont val="Calibri"/>
        <family val="2"/>
        <charset val="161"/>
        <scheme val="minor"/>
      </rPr>
      <t xml:space="preserve"> στους υπολογισμούς μόνο για το εξεταζόμενο κτίριο.
Στα κτίρια του </t>
    </r>
    <r>
      <rPr>
        <b/>
        <i/>
        <sz val="9"/>
        <color theme="7" tint="-0.499984740745262"/>
        <rFont val="Calibri"/>
        <family val="2"/>
        <charset val="161"/>
        <scheme val="minor"/>
      </rPr>
      <t xml:space="preserve">τριτογενή τομέα </t>
    </r>
    <r>
      <rPr>
        <i/>
        <sz val="9"/>
        <color theme="7" tint="-0.499984740745262"/>
        <rFont val="Calibri"/>
        <family val="2"/>
        <charset val="161"/>
        <scheme val="minor"/>
      </rPr>
      <t xml:space="preserve">η συνολική παροχή νωπού αέρα γίνεται </t>
    </r>
    <r>
      <rPr>
        <b/>
        <i/>
        <sz val="9"/>
        <color theme="7" tint="-0.499984740745262"/>
        <rFont val="Calibri"/>
        <family val="2"/>
        <charset val="161"/>
        <scheme val="minor"/>
      </rPr>
      <t xml:space="preserve">ΜΟΝΟ </t>
    </r>
    <r>
      <rPr>
        <i/>
        <sz val="9"/>
        <color theme="7" tint="-0.499984740745262"/>
        <rFont val="Calibri"/>
        <family val="2"/>
        <charset val="161"/>
        <scheme val="minor"/>
      </rPr>
      <t xml:space="preserve">με μηχανικό αερισμό.
</t>
    </r>
    <r>
      <rPr>
        <b/>
        <sz val="9"/>
        <color theme="7" tint="-0.499984740745262"/>
        <rFont val="Calibri"/>
        <family val="2"/>
        <charset val="161"/>
        <scheme val="minor"/>
      </rPr>
      <t xml:space="preserve">Θεωρητικό σύστημα μηχανικού αερισμού: </t>
    </r>
    <r>
      <rPr>
        <i/>
        <sz val="9"/>
        <color theme="7" tint="-0.499984740745262"/>
        <rFont val="Calibri"/>
        <family val="2"/>
        <charset val="161"/>
        <scheme val="minor"/>
      </rPr>
      <t xml:space="preserve">παροχή αέρα σύμφωνα με τα ελάχιστα απαιτούμενα όρια, χωρίς ανακυκλοφορία και χωρίς ανάκτηση θερμότητας / ψύξης, με ανεμιστήρες με E_vent= 1,0 kW/m³/s. </t>
    </r>
  </si>
  <si>
    <t>συντελεστες Ffin</t>
  </si>
  <si>
    <r>
      <t xml:space="preserve">  Οι υπολογισμοί στο παρόν φύλλο καλύπτουν τα </t>
    </r>
    <r>
      <rPr>
        <b/>
        <sz val="9"/>
        <color theme="1" tint="0.249977111117893"/>
        <rFont val="Calibri"/>
        <family val="2"/>
        <charset val="161"/>
        <scheme val="minor"/>
      </rPr>
      <t xml:space="preserve">κυριότερα στοιχεία </t>
    </r>
    <r>
      <rPr>
        <sz val="9"/>
        <color theme="1" tint="0.249977111117893"/>
        <rFont val="Calibri"/>
        <family val="2"/>
        <charset val="161"/>
        <scheme val="minor"/>
      </rPr>
      <t xml:space="preserve">που πρέπει να υπολογίσει ο ενεργειακός επιθεωρητής σε μια </t>
    </r>
    <r>
      <rPr>
        <b/>
        <sz val="9"/>
        <color theme="1" tint="0.249977111117893"/>
        <rFont val="Calibri"/>
        <family val="2"/>
        <charset val="161"/>
        <scheme val="minor"/>
      </rPr>
      <t>συνήθης ενεργειακή επιθεώρηση</t>
    </r>
    <r>
      <rPr>
        <sz val="9"/>
        <color theme="1" tint="0.249977111117893"/>
        <rFont val="Calibri"/>
        <family val="2"/>
        <charset val="161"/>
        <scheme val="minor"/>
      </rPr>
      <t xml:space="preserve">. Στοιχεία ή μεγέθη που δεν περιλαμβάνονται ή που δεν συμπληρώνονται αυτόματα, υπολογίζονται </t>
    </r>
    <r>
      <rPr>
        <b/>
        <sz val="9"/>
        <color theme="1" tint="0.249977111117893"/>
        <rFont val="Calibri"/>
        <family val="2"/>
        <charset val="161"/>
        <scheme val="minor"/>
      </rPr>
      <t>αναλυτικά</t>
    </r>
    <r>
      <rPr>
        <sz val="9"/>
        <color theme="1" tint="0.249977111117893"/>
        <rFont val="Calibri"/>
        <family val="2"/>
        <charset val="161"/>
        <scheme val="minor"/>
      </rPr>
      <t xml:space="preserve"> και </t>
    </r>
    <r>
      <rPr>
        <b/>
        <sz val="9"/>
        <color theme="1" tint="0.249977111117893"/>
        <rFont val="Calibri"/>
        <family val="2"/>
        <charset val="161"/>
        <scheme val="minor"/>
      </rPr>
      <t xml:space="preserve">συμπληρώνονται </t>
    </r>
    <r>
      <rPr>
        <sz val="9"/>
        <color theme="1" tint="0.249977111117893"/>
        <rFont val="Calibri"/>
        <family val="2"/>
        <charset val="161"/>
        <scheme val="minor"/>
      </rPr>
      <t xml:space="preserve">απο τον επιθεωρητη, σύμφωνα με την μεθοδολογία και τους πινάκες της </t>
    </r>
    <r>
      <rPr>
        <b/>
        <sz val="9"/>
        <color theme="1" tint="0.249977111117893"/>
        <rFont val="Calibri"/>
        <family val="2"/>
        <charset val="161"/>
        <scheme val="minor"/>
      </rPr>
      <t>ΤΟΤΕΕ-20701-1/2010</t>
    </r>
    <r>
      <rPr>
        <sz val="9"/>
        <color theme="1" tint="0.249977111117893"/>
        <rFont val="Calibri"/>
        <family val="2"/>
        <charset val="161"/>
        <scheme val="minor"/>
      </rPr>
      <t xml:space="preserve">.
  Σε περίπτωση που κάποια αυτόματα υπολογισμένη τιμή </t>
    </r>
    <r>
      <rPr>
        <b/>
        <sz val="9"/>
        <color theme="1" tint="0.249977111117893"/>
        <rFont val="Calibri"/>
        <family val="2"/>
        <charset val="161"/>
        <scheme val="minor"/>
      </rPr>
      <t>δεν</t>
    </r>
    <r>
      <rPr>
        <sz val="9"/>
        <color theme="1" tint="0.249977111117893"/>
        <rFont val="Calibri"/>
        <family val="2"/>
        <charset val="161"/>
        <scheme val="minor"/>
      </rPr>
      <t xml:space="preserve"> ικανοποιεί τις </t>
    </r>
    <r>
      <rPr>
        <b/>
        <sz val="9"/>
        <color theme="1" tint="0.249977111117893"/>
        <rFont val="Calibri"/>
        <family val="2"/>
        <charset val="161"/>
        <scheme val="minor"/>
      </rPr>
      <t>τεχνικές Οδηγίες του ΤΕΕ</t>
    </r>
    <r>
      <rPr>
        <sz val="9"/>
        <color theme="1" tint="0.249977111117893"/>
        <rFont val="Calibri"/>
        <family val="2"/>
        <charset val="161"/>
        <scheme val="minor"/>
      </rPr>
      <t xml:space="preserve">, τότε πατώντας πάνω στο κελί, </t>
    </r>
    <r>
      <rPr>
        <b/>
        <sz val="9"/>
        <color theme="1" tint="0.249977111117893"/>
        <rFont val="Calibri"/>
        <family val="2"/>
        <charset val="161"/>
        <scheme val="minor"/>
      </rPr>
      <t xml:space="preserve">εισάγετε την σωστή τιμή </t>
    </r>
    <r>
      <rPr>
        <sz val="9"/>
        <color theme="1" tint="0.249977111117893"/>
        <rFont val="Calibri"/>
        <family val="2"/>
        <charset val="161"/>
        <scheme val="minor"/>
      </rPr>
      <t xml:space="preserve">(μη αυτόματος υπολογισμός λοιπών περιπτώσεων).
  Ο χρήστης έχει την </t>
    </r>
    <r>
      <rPr>
        <b/>
        <sz val="9"/>
        <color theme="1" tint="0.249977111117893"/>
        <rFont val="Calibri"/>
        <family val="2"/>
        <charset val="161"/>
        <scheme val="minor"/>
      </rPr>
      <t>αποκλειστική ευθύνη</t>
    </r>
    <r>
      <rPr>
        <sz val="9"/>
        <color theme="1" tint="0.249977111117893"/>
        <rFont val="Calibri"/>
        <family val="2"/>
        <charset val="161"/>
        <scheme val="minor"/>
      </rPr>
      <t xml:space="preserve"> της ορθότητας των υπολογισμών και των τιμών, καθώς επίσης και της τήρησης των Τ.Ο.Τ.Ε.Ε. Διαβάστε επίσης τις </t>
    </r>
    <r>
      <rPr>
        <b/>
        <sz val="9"/>
        <color theme="1" tint="0.249977111117893"/>
        <rFont val="Calibri"/>
        <family val="2"/>
        <charset val="161"/>
        <scheme val="minor"/>
      </rPr>
      <t>ΓΕΝΙΚΕΣ ΟΔΗΓΙΕΣ - ΠΑΡΑΤΗΡΗΣΕΙΣ</t>
    </r>
    <r>
      <rPr>
        <sz val="9"/>
        <color theme="1" tint="0.249977111117893"/>
        <rFont val="Calibri"/>
        <family val="2"/>
        <charset val="161"/>
        <scheme val="minor"/>
      </rPr>
      <t xml:space="preserve"> παρακάτω.   </t>
    </r>
  </si>
  <si>
    <t>ΥΠΟΛΟΓΙΣΜΟΣ ΣΤΟΙΧΕΙΩΝ ΓΙΑ ΕΙΣΑΓΩΓΗ ΣΤΟ ΛΟΓΙΣΜΙΚΟ Τ.Ε.Ε. ver.1.29.1.19</t>
  </si>
  <si>
    <t>[αριθμ. οριζόντιας ιδιοκτησίας ή κτίριο]</t>
  </si>
  <si>
    <t>(για τα σύμβολα βλ. σκαριφήματα άνω)</t>
  </si>
  <si>
    <t>(για τα σύμβολα βλ. σκαριφήματα κάτω)</t>
  </si>
  <si>
    <t>[υφιστάμενος]</t>
  </si>
  <si>
    <t>εως 100</t>
  </si>
  <si>
    <t>100-200</t>
  </si>
  <si>
    <t>200-300</t>
  </si>
  <si>
    <t>300-400</t>
  </si>
  <si>
    <t>400&amp;ανω</t>
  </si>
  <si>
    <r>
      <t xml:space="preserve">"Οποιαδήποτε διόρθωση ή αναβάθμιση του υπολογιστικού φύλλου θα δημοσιεύεται στην </t>
    </r>
    <r>
      <rPr>
        <u/>
        <sz val="10"/>
        <color rgb="FF002060"/>
        <rFont val="Calibri"/>
        <family val="2"/>
        <charset val="161"/>
      </rPr>
      <t>ιστοσελίδα</t>
    </r>
    <r>
      <rPr>
        <sz val="10"/>
        <color rgb="FF002060"/>
        <rFont val="Calibri"/>
        <family val="2"/>
        <charset val="161"/>
      </rPr>
      <t xml:space="preserve"> μας" </t>
    </r>
  </si>
  <si>
    <t xml:space="preserve">ΣΥΝΟΛΙΚΟ % </t>
  </si>
  <si>
    <t>ΠΡΟΣΑΝΑΤΟΛΙΣΜΟΣ</t>
  </si>
  <si>
    <t>ΠΡΙΝ</t>
  </si>
  <si>
    <t>ΜΕΤΑ</t>
  </si>
  <si>
    <t>ΤΙΜΗ</t>
  </si>
  <si>
    <t>ΓΩΝΙΑ</t>
  </si>
  <si>
    <t>ΑΝΑ 22,5</t>
  </si>
  <si>
    <t>Fhor (απεναντι εμπ.)</t>
  </si>
  <si>
    <t>Β</t>
  </si>
  <si>
    <t>Α</t>
  </si>
  <si>
    <t>Ν</t>
  </si>
  <si>
    <t>Δ</t>
  </si>
  <si>
    <t>ΒΑ</t>
  </si>
  <si>
    <t>ΝΑ</t>
  </si>
  <si>
    <t>ΝΔ</t>
  </si>
  <si>
    <t>ΒΔ</t>
  </si>
  <si>
    <t xml:space="preserve">ΤΙΜΗ </t>
  </si>
  <si>
    <t>ΓΩΝΙΑ α</t>
  </si>
  <si>
    <t>θερμανσης</t>
  </si>
  <si>
    <t>ψυξης</t>
  </si>
  <si>
    <t>Fov (προβολος)</t>
  </si>
  <si>
    <t>Fovc με τεντα</t>
  </si>
  <si>
    <t>ΓΩΝΙΑ β</t>
  </si>
  <si>
    <t>ψυξης για τεντα</t>
  </si>
  <si>
    <t>Ffin πλ. Αριστερα</t>
  </si>
  <si>
    <t>ΓΩΝΙΑ γ</t>
  </si>
  <si>
    <t>Ffin πλ. Δεξια</t>
  </si>
  <si>
    <t>γ0</t>
  </si>
  <si>
    <t>γi</t>
  </si>
  <si>
    <t>γ1</t>
  </si>
  <si>
    <t>α0</t>
  </si>
  <si>
    <t>αi</t>
  </si>
  <si>
    <t>α1</t>
  </si>
  <si>
    <t>f00</t>
  </si>
  <si>
    <t>f0i</t>
  </si>
  <si>
    <t>f01</t>
  </si>
  <si>
    <t>fii</t>
  </si>
  <si>
    <t>f1i</t>
  </si>
  <si>
    <t>f10</t>
  </si>
  <si>
    <t>f11</t>
  </si>
  <si>
    <t>γραμμικη περεμβολη για Fii</t>
  </si>
  <si>
    <t>για βημα γωνιας πινακα: 1/2,5=0,40 για προβολους και οριζοντα και 1/5=0,20 για προεξοχες</t>
  </si>
  <si>
    <t>για βημα προαν.: 1/22,5=0,0444</t>
  </si>
  <si>
    <t>α/γ</t>
  </si>
  <si>
    <t>f0i = f00+0,40*(a0-ai)*(f00-f10)</t>
  </si>
  <si>
    <t>f1i = f01+0,40*(a0-ai)*(f01-f11)</t>
  </si>
  <si>
    <r>
      <rPr>
        <b/>
        <sz val="11"/>
        <color theme="1"/>
        <rFont val="Calibri"/>
        <family val="2"/>
        <charset val="161"/>
        <scheme val="minor"/>
      </rPr>
      <t xml:space="preserve">fii </t>
    </r>
    <r>
      <rPr>
        <sz val="11"/>
        <color theme="1"/>
        <rFont val="Calibri"/>
        <family val="2"/>
        <charset val="161"/>
        <scheme val="minor"/>
      </rPr>
      <t>= f0i+0,0444*(γi-γ0)*(f1i-f0i)</t>
    </r>
  </si>
  <si>
    <t>ΠΕΡΙΟΧΗ ΦΦ [%]***</t>
  </si>
  <si>
    <t>9. ΦΩΤΙΣΜΟΣ</t>
  </si>
  <si>
    <t>Β-ΒΑ</t>
  </si>
  <si>
    <t>ΒΑ-Α</t>
  </si>
  <si>
    <t>Α-ΝΑ</t>
  </si>
  <si>
    <t>ΝΑ-Ν</t>
  </si>
  <si>
    <t>Ν-ΝΔ</t>
  </si>
  <si>
    <t>ΝΔ-Δ</t>
  </si>
  <si>
    <t>Δ-ΒΔ</t>
  </si>
  <si>
    <t>ΒΔ-Β</t>
  </si>
  <si>
    <r>
      <t>n</t>
    </r>
    <r>
      <rPr>
        <b/>
        <sz val="8"/>
        <color theme="7" tint="-0.499984740745262"/>
        <rFont val="Calibri"/>
        <family val="2"/>
        <charset val="161"/>
        <scheme val="minor"/>
      </rPr>
      <t xml:space="preserve">g2 </t>
    </r>
    <r>
      <rPr>
        <b/>
        <sz val="10"/>
        <color theme="7" tint="-0.499984740745262"/>
        <rFont val="Calibri"/>
        <family val="2"/>
        <charset val="161"/>
        <scheme val="minor"/>
      </rPr>
      <t>=</t>
    </r>
  </si>
  <si>
    <r>
      <t>n</t>
    </r>
    <r>
      <rPr>
        <b/>
        <sz val="8"/>
        <color theme="7" tint="-0.499984740745262"/>
        <rFont val="Calibri"/>
        <family val="2"/>
        <charset val="161"/>
        <scheme val="minor"/>
      </rPr>
      <t xml:space="preserve">g1 </t>
    </r>
    <r>
      <rPr>
        <b/>
        <sz val="10"/>
        <color theme="7" tint="-0.499984740745262"/>
        <rFont val="Calibri"/>
        <family val="2"/>
        <charset val="161"/>
        <scheme val="minor"/>
      </rPr>
      <t>=</t>
    </r>
  </si>
  <si>
    <t>γωνίες σκίασης</t>
  </si>
  <si>
    <r>
      <rPr>
        <b/>
        <sz val="12"/>
        <color rgb="FF002060"/>
        <rFont val="Calibri"/>
        <family val="2"/>
        <charset val="161"/>
        <scheme val="minor"/>
      </rPr>
      <t>E</t>
    </r>
    <r>
      <rPr>
        <b/>
        <sz val="10"/>
        <color rgb="FF002060"/>
        <rFont val="Calibri"/>
        <family val="2"/>
        <charset val="161"/>
        <scheme val="minor"/>
      </rPr>
      <t xml:space="preserve">nergy </t>
    </r>
    <r>
      <rPr>
        <b/>
        <sz val="12"/>
        <color rgb="FF002060"/>
        <rFont val="Calibri"/>
        <family val="2"/>
        <charset val="161"/>
        <scheme val="minor"/>
      </rPr>
      <t>C</t>
    </r>
    <r>
      <rPr>
        <b/>
        <sz val="10"/>
        <color rgb="FF002060"/>
        <rFont val="Calibri"/>
        <family val="2"/>
        <charset val="161"/>
        <scheme val="minor"/>
      </rPr>
      <t xml:space="preserve">ert. </t>
    </r>
    <r>
      <rPr>
        <b/>
        <sz val="12"/>
        <color rgb="FF002060"/>
        <rFont val="Calibri"/>
        <family val="2"/>
        <charset val="161"/>
        <scheme val="minor"/>
      </rPr>
      <t>A</t>
    </r>
    <r>
      <rPr>
        <b/>
        <sz val="10"/>
        <color rgb="FF002060"/>
        <rFont val="Calibri"/>
        <family val="2"/>
        <charset val="161"/>
        <scheme val="minor"/>
      </rPr>
      <t>dapt</t>
    </r>
    <r>
      <rPr>
        <sz val="10"/>
        <color rgb="FF002060"/>
        <rFont val="Calibri"/>
        <family val="2"/>
        <charset val="161"/>
        <scheme val="minor"/>
      </rPr>
      <t xml:space="preserve">  </t>
    </r>
    <r>
      <rPr>
        <sz val="9"/>
        <color rgb="FF002060"/>
        <rFont val="Calibri"/>
        <family val="2"/>
        <charset val="161"/>
        <scheme val="minor"/>
      </rPr>
      <t>ver.4.00</t>
    </r>
  </si>
  <si>
    <t>[F=1,00 καθόλου σκιά | F=0,00 πλήρης σκιά]</t>
  </si>
  <si>
    <t>U</t>
  </si>
  <si>
    <t>ανεπιχριστο από τη μια ή τις δυο οψεις</t>
  </si>
  <si>
    <t>επιχρισμενο και από τις δυο οψεις</t>
  </si>
  <si>
    <t>επενδεδυμενο με αργολιθοδομη</t>
  </si>
  <si>
    <t>επενδεδυμενο με μαρμαρινες πλακες</t>
  </si>
  <si>
    <t>επενδεδυμενο με άλλες πλακες</t>
  </si>
  <si>
    <t>επενδεδυμενο με διακοσμιτικη οπτοπλινθοδομη</t>
  </si>
  <si>
    <t>μπατικη ή δικελυφη δρομικη οπτοπλινθοδομη</t>
  </si>
  <si>
    <t>δρομικη οπτοπλινθοδομη</t>
  </si>
  <si>
    <t>επιστεγασεις (με ή χωρις ψευδοροφη)</t>
  </si>
  <si>
    <t>συμβατικου τυπου δωμα</t>
  </si>
  <si>
    <t>ανεστραμμενου τυπου δωμα</t>
  </si>
  <si>
    <t>αεριζομενο δωμα</t>
  </si>
  <si>
    <t>φυτεμενο δωμα</t>
  </si>
  <si>
    <t>οριζοντια οροφη κατω από μη θερμ. στεγη</t>
  </si>
  <si>
    <t>οροφη κατω από μη θερμαιν. Χωρο</t>
  </si>
  <si>
    <t>κεραμοσκεπη επι κεκλιμενης πλακας Ο.Σ.</t>
  </si>
  <si>
    <t>κεραμοσκεπη επι κεκκλιμενης ξυλινης στεγης</t>
  </si>
  <si>
    <t>δαπεδα με επικαλυψη παντος τυπου</t>
  </si>
  <si>
    <t>επανω από ανοικτο υποστυλο χωρο (pilotis)</t>
  </si>
  <si>
    <t>επι εδαφους</t>
  </si>
  <si>
    <t>επανω από μη θερμαινομενο χωρο</t>
  </si>
  <si>
    <t>στοιχειο φεροντος οργανισμου Ο.Σ. (&lt;80εκ)</t>
  </si>
  <si>
    <t>Umax συμφωνα με τον ΚΘΚ (1979)</t>
  </si>
  <si>
    <t>Umax συμφωνα με τον ΚΕΝΑΚ</t>
  </si>
  <si>
    <r>
      <t>τυπικες τιμες προ ΚΘΚ, U</t>
    </r>
    <r>
      <rPr>
        <b/>
        <sz val="8"/>
        <color theme="1"/>
        <rFont val="Calibri"/>
        <family val="2"/>
        <charset val="161"/>
        <scheme val="minor"/>
      </rPr>
      <t>max</t>
    </r>
    <r>
      <rPr>
        <b/>
        <sz val="11"/>
        <color theme="1"/>
        <rFont val="Calibri"/>
        <family val="2"/>
        <charset val="161"/>
        <scheme val="minor"/>
      </rPr>
      <t xml:space="preserve"> απο ΚΘΚ ή ΚΕΝΑΚ</t>
    </r>
  </si>
  <si>
    <t>χωρις θερμ.</t>
  </si>
  <si>
    <t>ανεπαρκη θερμ.</t>
  </si>
  <si>
    <t>θερμομονωση:</t>
  </si>
  <si>
    <t>κατακορυφο δομικο στοιχειο:</t>
  </si>
  <si>
    <t>οριζοντιο δομικο στοιχειο:</t>
  </si>
  <si>
    <t>σε επαφη με:</t>
  </si>
  <si>
    <t>χωρις θερμoμ.</t>
  </si>
  <si>
    <t>επαφη με αερα</t>
  </si>
  <si>
    <t>επαφη με Μ.Θ.Χ.</t>
  </si>
  <si>
    <t>επαφη με εδαφος</t>
  </si>
  <si>
    <t>εξωτερικη οριζοντια ή κεκλιμενη επιφανεια σε επαφη με τον εξ. αερα (οροφες, πυλωτες)</t>
  </si>
  <si>
    <t>εξωτερικη τοιχοι σε επαφη με τον εξωτερικο αερα</t>
  </si>
  <si>
    <t>δαπεδα σε επαφη με το εδαφος ή με κλειστους μη θερμαινομενους χωρους</t>
  </si>
  <si>
    <t>τοιχοι σε επαφη με το εδαφος ή με κλειστους μη θερμαινομενους χωρους</t>
  </si>
  <si>
    <t>δομικο στοιχειο:</t>
  </si>
  <si>
    <t>ΚΘΚ</t>
  </si>
  <si>
    <t>δομικο στοιχειο</t>
  </si>
  <si>
    <t>εξωτερικη οριζοντια ή κεκλιμενη επιφανεια σε επαφη με τον εξ. αερα (οροφες)</t>
  </si>
  <si>
    <t>δαπεδα σε επαφη με τον εξ. αερα (πυλωτη)</t>
  </si>
  <si>
    <t>κλιμ. Ζωνη:</t>
  </si>
  <si>
    <t>Ζωνη Α</t>
  </si>
  <si>
    <t>Ζωνη Β</t>
  </si>
  <si>
    <t>Ζωνη Γ</t>
  </si>
  <si>
    <t>Ζωνη Δ</t>
  </si>
  <si>
    <t>-------</t>
  </si>
  <si>
    <r>
      <rPr>
        <sz val="7"/>
        <color theme="5" tint="-0.499984740745262"/>
        <rFont val="Calibri"/>
        <family val="2"/>
        <charset val="161"/>
        <scheme val="minor"/>
      </rPr>
      <t>συντ</t>
    </r>
    <r>
      <rPr>
        <sz val="9"/>
        <color theme="5" tint="-0.499984740745262"/>
        <rFont val="Calibri"/>
        <family val="2"/>
        <charset val="161"/>
        <scheme val="minor"/>
      </rPr>
      <t>.</t>
    </r>
    <r>
      <rPr>
        <b/>
        <sz val="10"/>
        <color theme="5" tint="-0.499984740745262"/>
        <rFont val="Calibri"/>
        <family val="2"/>
        <charset val="161"/>
        <scheme val="minor"/>
      </rPr>
      <t>U</t>
    </r>
    <r>
      <rPr>
        <b/>
        <sz val="9"/>
        <color theme="5" tint="-0.499984740745262"/>
        <rFont val="Calibri"/>
        <family val="2"/>
        <charset val="161"/>
        <scheme val="minor"/>
      </rPr>
      <t>=</t>
    </r>
  </si>
  <si>
    <t>τιμες</t>
  </si>
  <si>
    <t>στοιχειο</t>
  </si>
  <si>
    <t>θερμομ.</t>
  </si>
  <si>
    <t>επαφη με</t>
  </si>
  <si>
    <t>ζωνη ή</t>
  </si>
  <si>
    <t>εξωτερικες πορτες χωρις υαλοπινακες</t>
  </si>
  <si>
    <t>υλικο:</t>
  </si>
  <si>
    <t>μεταλλο</t>
  </si>
  <si>
    <t>συνθετικο</t>
  </si>
  <si>
    <t>ξυλο</t>
  </si>
  <si>
    <r>
      <t xml:space="preserve">   U</t>
    </r>
    <r>
      <rPr>
        <sz val="9"/>
        <color theme="1"/>
        <rFont val="Calibri"/>
        <family val="2"/>
        <charset val="161"/>
        <scheme val="minor"/>
      </rPr>
      <t>b</t>
    </r>
  </si>
  <si>
    <r>
      <t>L</t>
    </r>
    <r>
      <rPr>
        <sz val="9"/>
        <color theme="1"/>
        <rFont val="Calibri"/>
        <family val="2"/>
        <charset val="161"/>
        <scheme val="minor"/>
      </rPr>
      <t>απεν</t>
    </r>
  </si>
  <si>
    <r>
      <t>L+L</t>
    </r>
    <r>
      <rPr>
        <sz val="9"/>
        <color theme="1"/>
        <rFont val="Calibri"/>
        <family val="2"/>
        <charset val="161"/>
        <scheme val="minor"/>
      </rPr>
      <t>απεν</t>
    </r>
  </si>
  <si>
    <t>μεταλλικο χωρις θ.δ.</t>
  </si>
  <si>
    <t>μεταλλικο με θ.δ. 12mm</t>
  </si>
  <si>
    <t>μεταλλικο με θ.δ. 24mm</t>
  </si>
  <si>
    <t>ξυλινο</t>
  </si>
  <si>
    <t>τυπος πλαισιου</t>
  </si>
  <si>
    <t>Uf</t>
  </si>
  <si>
    <t>χωρις επιστρωση χαμ. Εκπ.</t>
  </si>
  <si>
    <t>με επιστρωση χαμ. Εκπ.</t>
  </si>
  <si>
    <t>τυπος υαλοπινακα</t>
  </si>
  <si>
    <t>διδυμος εγχρωμος με διακενο 6mm</t>
  </si>
  <si>
    <t>διδυμος με διακενο αερα 6mm</t>
  </si>
  <si>
    <t>διδυμος με διακενο αερα 12mm</t>
  </si>
  <si>
    <t>διδυμος εγχρωμος με διακενο 12mm</t>
  </si>
  <si>
    <t>διδυμος 6mm και μεβρ. χαμ. εκπ.</t>
  </si>
  <si>
    <t>διδυμος 12mm και μεβρ. χαμ. εκπ.</t>
  </si>
  <si>
    <t>υαλοτουβλα</t>
  </si>
  <si>
    <t>Ug</t>
  </si>
  <si>
    <t>g</t>
  </si>
  <si>
    <t>ggl</t>
  </si>
  <si>
    <t>gem</t>
  </si>
  <si>
    <r>
      <t>U</t>
    </r>
    <r>
      <rPr>
        <sz val="7"/>
        <color theme="5" tint="-0.499984740745262"/>
        <rFont val="Calibri"/>
        <family val="2"/>
        <charset val="161"/>
        <scheme val="minor"/>
      </rPr>
      <t xml:space="preserve">v_F </t>
    </r>
    <r>
      <rPr>
        <b/>
        <sz val="10"/>
        <color theme="5" tint="-0.499984740745262"/>
        <rFont val="Calibri"/>
        <family val="2"/>
        <charset val="161"/>
        <scheme val="minor"/>
      </rPr>
      <t>=</t>
    </r>
  </si>
  <si>
    <t>ποσ.πλαισιου % :</t>
  </si>
  <si>
    <t>τυπος πλαισιου:</t>
  </si>
  <si>
    <t>τυπος υαλοπινακα:</t>
  </si>
  <si>
    <t>μονος υαλοπινακας</t>
  </si>
  <si>
    <t>ΤΥΠΟΣ ΠΛΑΙΣΙΟΥ</t>
  </si>
  <si>
    <t>ΠΟΣΟΣΤΟ %</t>
  </si>
  <si>
    <t>ΤΥΠΟΣ ΥΑΛΟΣΤΑΣ.</t>
  </si>
  <si>
    <r>
      <rPr>
        <b/>
        <sz val="11"/>
        <color theme="5" tint="-0.499984740745262"/>
        <rFont val="Calibri"/>
        <family val="2"/>
        <charset val="161"/>
        <scheme val="minor"/>
      </rPr>
      <t>g</t>
    </r>
    <r>
      <rPr>
        <sz val="7"/>
        <color theme="5" tint="-0.499984740745262"/>
        <rFont val="Calibri"/>
        <family val="2"/>
        <charset val="161"/>
        <scheme val="minor"/>
      </rPr>
      <t xml:space="preserve">_w </t>
    </r>
    <r>
      <rPr>
        <b/>
        <sz val="10"/>
        <color theme="5" tint="-0.499984740745262"/>
        <rFont val="Calibri"/>
        <family val="2"/>
        <charset val="161"/>
        <scheme val="minor"/>
      </rPr>
      <t>=</t>
    </r>
  </si>
  <si>
    <t xml:space="preserve">[ΤΙΤΛΟΣ] </t>
  </si>
  <si>
    <t>ΕΝΕΡΓΕΙΑΚΟΣ ΕΠΙΘΕΩΡΗΤΗΣ [ΤΑΞΗ]</t>
  </si>
  <si>
    <t xml:space="preserve">Uv_F = </t>
  </si>
  <si>
    <t>Uf=</t>
  </si>
  <si>
    <t>Ug=</t>
  </si>
  <si>
    <t>Ψg=</t>
  </si>
  <si>
    <r>
      <t>U</t>
    </r>
    <r>
      <rPr>
        <sz val="8"/>
        <rFont val="Calibri"/>
        <family val="2"/>
        <charset val="161"/>
        <scheme val="minor"/>
      </rPr>
      <t>v_F</t>
    </r>
  </si>
  <si>
    <r>
      <t>g</t>
    </r>
    <r>
      <rPr>
        <sz val="8"/>
        <rFont val="Calibri"/>
        <family val="2"/>
        <charset val="161"/>
        <scheme val="minor"/>
      </rPr>
      <t>_w</t>
    </r>
  </si>
  <si>
    <t>gw=</t>
  </si>
  <si>
    <t>ggL=</t>
  </si>
  <si>
    <t>Ig=</t>
  </si>
  <si>
    <r>
      <t>εκτιμηση γραμμικα από πιν. 3.12 (</t>
    </r>
    <r>
      <rPr>
        <sz val="11"/>
        <color theme="1"/>
        <rFont val="Calibri"/>
        <family val="2"/>
        <charset val="161"/>
      </rPr>
      <t>±</t>
    </r>
    <r>
      <rPr>
        <sz val="11"/>
        <color theme="1"/>
        <rFont val="Calibri"/>
        <family val="2"/>
        <charset val="161"/>
        <scheme val="minor"/>
      </rPr>
      <t>0,1)</t>
    </r>
  </si>
  <si>
    <r>
      <t>[εάν U</t>
    </r>
    <r>
      <rPr>
        <sz val="10"/>
        <color theme="1" tint="0.34998626667073579"/>
        <rFont val="Calibri"/>
        <family val="2"/>
        <charset val="161"/>
      </rPr>
      <t>≤</t>
    </r>
    <r>
      <rPr>
        <sz val="10"/>
        <color theme="1" tint="0.34998626667073579"/>
        <rFont val="Calibri"/>
        <family val="2"/>
        <charset val="161"/>
        <scheme val="minor"/>
      </rPr>
      <t>0,60 τότε F</t>
    </r>
    <r>
      <rPr>
        <sz val="8"/>
        <color theme="1" tint="0.34998626667073579"/>
        <rFont val="Calibri"/>
        <family val="2"/>
        <charset val="161"/>
        <scheme val="minor"/>
      </rPr>
      <t>ovh</t>
    </r>
    <r>
      <rPr>
        <sz val="10"/>
        <color theme="1" tint="0.34998626667073579"/>
        <rFont val="Calibri"/>
        <family val="2"/>
        <charset val="161"/>
        <scheme val="minor"/>
      </rPr>
      <t>=F</t>
    </r>
    <r>
      <rPr>
        <sz val="8"/>
        <color theme="1" tint="0.34998626667073579"/>
        <rFont val="Calibri"/>
        <family val="2"/>
        <charset val="161"/>
        <scheme val="minor"/>
      </rPr>
      <t>ovc</t>
    </r>
    <r>
      <rPr>
        <sz val="10"/>
        <color theme="1" tint="0.34998626667073579"/>
        <rFont val="Calibri"/>
        <family val="2"/>
        <charset val="161"/>
        <scheme val="minor"/>
      </rPr>
      <t>=0,90 &amp; F</t>
    </r>
    <r>
      <rPr>
        <sz val="8"/>
        <color theme="1" tint="0.34998626667073579"/>
        <rFont val="Calibri"/>
        <family val="2"/>
        <charset val="161"/>
        <scheme val="minor"/>
      </rPr>
      <t>xx</t>
    </r>
    <r>
      <rPr>
        <sz val="10"/>
        <color theme="1" tint="0.34998626667073579"/>
        <rFont val="Calibri"/>
        <family val="2"/>
        <charset val="161"/>
        <scheme val="minor"/>
      </rPr>
      <t>= 1,00]</t>
    </r>
  </si>
  <si>
    <t>κατοικιες 0 |τριτογενης 0,1 w/m2</t>
  </si>
  <si>
    <t>προ 1981</t>
  </si>
  <si>
    <t>81 εως 99</t>
  </si>
  <si>
    <t>μετα 99</t>
  </si>
  <si>
    <t>μη γων.</t>
  </si>
  <si>
    <t>γωνιακο</t>
  </si>
  <si>
    <t>εως 5ορ.</t>
  </si>
  <si>
    <t>&gt; 5οροφ.</t>
  </si>
  <si>
    <t>τυπος:</t>
  </si>
  <si>
    <t>αρ.οροφ.</t>
  </si>
  <si>
    <t>15(%)</t>
  </si>
  <si>
    <t>25(%)</t>
  </si>
  <si>
    <t>18(%)</t>
  </si>
  <si>
    <t>30(%)</t>
  </si>
  <si>
    <t>22(%)</t>
  </si>
  <si>
    <t>35(%)</t>
  </si>
  <si>
    <t>υπολ.</t>
  </si>
  <si>
    <r>
      <t>%</t>
    </r>
    <r>
      <rPr>
        <sz val="8"/>
        <color theme="1"/>
        <rFont val="Calibri"/>
        <family val="2"/>
        <charset val="161"/>
        <scheme val="minor"/>
      </rPr>
      <t>betton</t>
    </r>
  </si>
  <si>
    <t>4.3 boiler Z.N.X.</t>
  </si>
  <si>
    <t>ΖΝΧ / ημερα</t>
  </si>
  <si>
    <t>lt/ατ/ημ</t>
  </si>
  <si>
    <t>lt/m2/ημ</t>
  </si>
  <si>
    <t>ελαχ. μεση μηνιαια θερμοκρασια</t>
  </si>
  <si>
    <t>ανω 500</t>
  </si>
  <si>
    <t>lt/τμ/ημ</t>
  </si>
  <si>
    <t>ή εμβ.:</t>
  </si>
  <si>
    <t>άτομα:</t>
  </si>
  <si>
    <t xml:space="preserve">κλ. ζωνη </t>
  </si>
  <si>
    <t>χαμηλοτερη θερμ. νερου:</t>
  </si>
  <si>
    <r>
      <rPr>
        <sz val="8"/>
        <rFont val="Calibri"/>
        <family val="2"/>
        <charset val="161"/>
        <scheme val="minor"/>
      </rPr>
      <t>Ανω</t>
    </r>
    <r>
      <rPr>
        <sz val="9"/>
        <rFont val="Calibri"/>
        <family val="2"/>
        <charset val="161"/>
        <scheme val="minor"/>
      </rPr>
      <t>500</t>
    </r>
    <r>
      <rPr>
        <sz val="8"/>
        <rFont val="Calibri"/>
        <family val="2"/>
        <charset val="161"/>
        <scheme val="minor"/>
      </rPr>
      <t>μ</t>
    </r>
  </si>
  <si>
    <t>Γ</t>
  </si>
  <si>
    <t>ΧΡΗΣΗ:</t>
  </si>
  <si>
    <r>
      <rPr>
        <sz val="10"/>
        <color theme="7" tint="-0.499984740745262"/>
        <rFont val="Calibri"/>
        <family val="2"/>
        <charset val="161"/>
        <scheme val="minor"/>
      </rPr>
      <t>ΑΠΑΙΤOYM. ΙΣΧΥΣ Pgen</t>
    </r>
    <r>
      <rPr>
        <sz val="10"/>
        <color theme="9" tint="-0.499984740745262"/>
        <rFont val="Calibri"/>
        <family val="2"/>
        <charset val="161"/>
        <scheme val="minor"/>
      </rPr>
      <t>+Pn</t>
    </r>
    <r>
      <rPr>
        <sz val="10"/>
        <color theme="1"/>
        <rFont val="Calibri"/>
        <family val="2"/>
        <charset val="161"/>
        <scheme val="minor"/>
      </rPr>
      <t>:</t>
    </r>
  </si>
  <si>
    <t>Αλεξαν/πολη</t>
  </si>
  <si>
    <t>Αθηνα</t>
  </si>
  <si>
    <t>Ηρακλειο</t>
  </si>
  <si>
    <t>Καστορια</t>
  </si>
  <si>
    <t>Λαρισα</t>
  </si>
  <si>
    <t>Λημνος</t>
  </si>
  <si>
    <t>Ναξος</t>
  </si>
  <si>
    <t>Πατρα</t>
  </si>
  <si>
    <t>Θεσσαλονικη</t>
  </si>
  <si>
    <t>Τριπολη</t>
  </si>
  <si>
    <t>Μεσος ορος</t>
  </si>
  <si>
    <t>Πολη:</t>
  </si>
  <si>
    <t>Απλός</t>
  </si>
  <si>
    <t>Επιλεκτικός</t>
  </si>
  <si>
    <t>Κενου</t>
  </si>
  <si>
    <t>ΚΑΤΟΙΚΙΕΣ</t>
  </si>
  <si>
    <t>ΤΡΙΤΟΓΕΝΗΣ</t>
  </si>
  <si>
    <t>Κλίση:</t>
  </si>
  <si>
    <t>κατοικία</t>
  </si>
  <si>
    <t>τριτογενής</t>
  </si>
  <si>
    <t>Χρήση:</t>
  </si>
  <si>
    <t>χρηση</t>
  </si>
  <si>
    <t>πολη</t>
  </si>
  <si>
    <t>κλιση</t>
  </si>
  <si>
    <t>φθορες</t>
  </si>
  <si>
    <t>οχι</t>
  </si>
  <si>
    <t>τυπος</t>
  </si>
  <si>
    <t>1.</t>
  </si>
  <si>
    <t>συνα</t>
  </si>
  <si>
    <t>τελικο</t>
  </si>
  <si>
    <t>2.</t>
  </si>
  <si>
    <t xml:space="preserve">     ↓ για θέρμανση/ από μελέτη</t>
  </si>
  <si>
    <t>τυπικες τιμες προ ΚΘΚ, Umax απο ΚΘΚ ή ΚΕΝΑΚ</t>
  </si>
  <si>
    <t xml:space="preserve">                                                ΔΙΕΙΣΔΥΣΗ ΑΕΡΑ πιν.3.26 σελ.82</t>
  </si>
  <si>
    <t xml:space="preserve">                                                             </t>
  </si>
  <si>
    <t>πορτα</t>
  </si>
  <si>
    <t>παραθυρο</t>
  </si>
  <si>
    <t>Κούφωμα χωρίς υαλοπίνακα (πόρτα) και χωρίς αεροστεγανότητα</t>
  </si>
  <si>
    <t>Κούφωμα με μονό υαλοπίνακα, μη αεροστεγές, χωνευτό, επάλληλο, ανοιγόμενο</t>
  </si>
  <si>
    <t>Κούφωμα με διπλό υαλοπίνακα, επάλληλα συρόμενο, με ψήκτρες</t>
  </si>
  <si>
    <t>Ανοιγόμενο κούφωμα, με διπλό υαλοπίνακα, χωρίς πιστοποίηση</t>
  </si>
  <si>
    <t>Κούφωμα χωρίς υαλοπίνακα (πόρτα), με αεροστεγανότητα μη πιστοποιημένη</t>
  </si>
  <si>
    <t>Ανοιγόμενο κούφωμα με διπλό υαλοπίνακα, αεροστεγές, με πιστοποίηση</t>
  </si>
  <si>
    <t>Αεροστεγές κούφωμα, χωρίς υαλοπίνακα (πόρτα), με πιστοποίηση</t>
  </si>
  <si>
    <t xml:space="preserve">Είδος ανοίγματος (υαλοστάσια, πόρτες κ.ά.) </t>
  </si>
  <si>
    <t>Κουφώματα με ξύλινο πλαίσιο</t>
  </si>
  <si>
    <t>Κουφώματα με μεταλλικό ή συνθετικό πλαίσιο</t>
  </si>
  <si>
    <t>πλαίσιο:</t>
  </si>
  <si>
    <t>ξύλινο</t>
  </si>
  <si>
    <t>μεταλλικό</t>
  </si>
  <si>
    <t>συνθετικό</t>
  </si>
  <si>
    <t>ΠΟΡΤΑ</t>
  </si>
  <si>
    <t>ΠΑΡΑΘΥΡΟ</t>
  </si>
  <si>
    <r>
      <t xml:space="preserve">τ.μ.  </t>
    </r>
    <r>
      <rPr>
        <b/>
        <sz val="10"/>
        <color theme="3" tint="-0.249977111117893"/>
        <rFont val="Calibri"/>
        <family val="2"/>
        <charset val="161"/>
        <scheme val="minor"/>
      </rPr>
      <t>Χ</t>
    </r>
  </si>
  <si>
    <r>
      <rPr>
        <b/>
        <sz val="8"/>
        <color theme="9" tint="-0.499984740745262"/>
        <rFont val="Calibri"/>
        <family val="2"/>
        <charset val="161"/>
        <scheme val="minor"/>
      </rPr>
      <t>ΠΡΟΣΟΧΗ:</t>
    </r>
    <r>
      <rPr>
        <sz val="8"/>
        <color theme="2" tint="-0.749992370372631"/>
        <rFont val="Calibri"/>
        <family val="2"/>
        <charset val="161"/>
        <scheme val="minor"/>
      </rPr>
      <t xml:space="preserve"> για </t>
    </r>
    <r>
      <rPr>
        <b/>
        <sz val="8"/>
        <color theme="2" tint="-0.749992370372631"/>
        <rFont val="Calibri"/>
        <family val="2"/>
        <charset val="161"/>
        <scheme val="minor"/>
      </rPr>
      <t>επιπλέον αδιαφανή ή διαφανή στοιχεία,</t>
    </r>
    <r>
      <rPr>
        <sz val="8"/>
        <color theme="2" tint="-0.749992370372631"/>
        <rFont val="Calibri"/>
        <family val="2"/>
        <charset val="161"/>
        <scheme val="minor"/>
      </rPr>
      <t xml:space="preserve"> εισάγετε αντίστοιχο αριθμό γραμμών εντος του πίνακα και </t>
    </r>
    <r>
      <rPr>
        <b/>
        <sz val="8"/>
        <color theme="2" tint="-0.749992370372631"/>
        <rFont val="Calibri"/>
        <family val="2"/>
        <charset val="161"/>
        <scheme val="minor"/>
      </rPr>
      <t xml:space="preserve">σύρετε τη προηγούμενη γραμμή </t>
    </r>
    <r>
      <rPr>
        <sz val="8"/>
        <color theme="2" tint="-0.749992370372631"/>
        <rFont val="Calibri"/>
        <family val="2"/>
        <charset val="161"/>
        <scheme val="minor"/>
      </rPr>
      <t xml:space="preserve">(βλ. </t>
    </r>
    <r>
      <rPr>
        <b/>
        <sz val="8"/>
        <color theme="2" tint="-0.749992370372631"/>
        <rFont val="Calibri"/>
        <family val="2"/>
        <charset val="161"/>
        <scheme val="minor"/>
      </rPr>
      <t>ΓΕΝΙΚΕΣ ΟΔΗΓΙΕΣ ΧΡΗΣΗΣ</t>
    </r>
    <r>
      <rPr>
        <sz val="8"/>
        <color theme="2" tint="-0.749992370372631"/>
        <rFont val="Calibri"/>
        <family val="2"/>
        <charset val="161"/>
        <scheme val="minor"/>
      </rPr>
      <t>, σελ.11)</t>
    </r>
    <r>
      <rPr>
        <b/>
        <sz val="8"/>
        <color theme="2" tint="-0.749992370372631"/>
        <rFont val="Calibri"/>
        <family val="2"/>
        <charset val="161"/>
        <scheme val="minor"/>
      </rPr>
      <t>.</t>
    </r>
  </si>
  <si>
    <r>
      <t xml:space="preserve">τ.μ.   </t>
    </r>
    <r>
      <rPr>
        <b/>
        <sz val="10"/>
        <color theme="3" tint="-0.249977111117893"/>
        <rFont val="Calibri"/>
        <family val="2"/>
        <charset val="161"/>
        <scheme val="minor"/>
      </rPr>
      <t>Χ</t>
    </r>
  </si>
  <si>
    <r>
      <rPr>
        <b/>
        <sz val="12"/>
        <color theme="3" tint="-0.249977111117893"/>
        <rFont val="Calibri"/>
        <family val="2"/>
        <charset val="161"/>
        <scheme val="minor"/>
      </rPr>
      <t>+</t>
    </r>
    <r>
      <rPr>
        <sz val="9"/>
        <color theme="3" tint="-0.249977111117893"/>
        <rFont val="Calibri"/>
        <family val="2"/>
        <charset val="161"/>
        <scheme val="minor"/>
      </rPr>
      <t xml:space="preserve">     παράθυρα:</t>
    </r>
  </si>
  <si>
    <t>Δείτε επίσης τις ΓΕΝΙΚΕΣ ΟΔΗΓΙΕΣ ΧΡΗΣΗΣ που θα βρείτε στην ιστοσελίδα.</t>
  </si>
  <si>
    <t>Συνιστάται η ασπρόμαυρη εκτύπωση με οριζόντιο προσανατολισμό και μέγεθος χαρτιού Α4
(εκτύπωση/προεπισκόπηση εκτύπωσης/διαμόρφωση σελίδας/φύλλο/εκτύπωση: ασπρόμαυρη)</t>
  </si>
  <si>
    <t>Α/Α</t>
  </si>
  <si>
    <t xml:space="preserve"> ΥΠΟΛΟΓΙΣΜΟΙ ΕΠΙΘΕΩΡΗΣΗΣ</t>
  </si>
  <si>
    <t xml:space="preserve"> ΛΟΙΠΑ ΣΤΟΙΧΕΙΑ</t>
  </si>
  <si>
    <t>δ.αέρα</t>
  </si>
  <si>
    <t>ειδος Α</t>
  </si>
  <si>
    <r>
      <t xml:space="preserve">τ.μ.   </t>
    </r>
    <r>
      <rPr>
        <b/>
        <sz val="10"/>
        <color theme="2" tint="-0.749992370372631"/>
        <rFont val="Calibri"/>
        <family val="2"/>
        <charset val="161"/>
        <scheme val="minor"/>
      </rPr>
      <t>Χ</t>
    </r>
  </si>
  <si>
    <t>α/α έργου:</t>
  </si>
  <si>
    <t>αμοιβή:</t>
  </si>
  <si>
    <t>Έτος έκδοσης οικ. άδειας ή άδειας δόμησης</t>
  </si>
  <si>
    <t>θερμομόνωση κατακόρυφων στοιχείων:</t>
  </si>
  <si>
    <t>Ζεστό Νερό Χρήσης</t>
  </si>
  <si>
    <t>ετήσια κατανάλ.:</t>
  </si>
  <si>
    <t>Θερμαινόμενη επιφάνεια</t>
  </si>
  <si>
    <t>εμβαδόν:</t>
  </si>
  <si>
    <t>ύψος(μεικτό):</t>
  </si>
  <si>
    <t>θερμαινόμ. Όγκος:</t>
  </si>
  <si>
    <t>Ψυχόμενη επιφάνεια</t>
  </si>
  <si>
    <t>ψυχόμενος Όγκος:</t>
  </si>
  <si>
    <t>Χρήση ιδιοκτησίας:</t>
  </si>
  <si>
    <t>Ιδιοκτησία:</t>
  </si>
  <si>
    <t>[ μετατροπή μοναδ. :</t>
  </si>
  <si>
    <r>
      <t>4.1 ΛΕΒΗΤΑΣ*</t>
    </r>
    <r>
      <rPr>
        <sz val="9"/>
        <color theme="1"/>
        <rFont val="Calibri"/>
        <family val="2"/>
        <charset val="161"/>
        <scheme val="minor"/>
      </rPr>
      <t xml:space="preserve"> (κεντρικό σύστημα)</t>
    </r>
  </si>
  <si>
    <r>
      <t xml:space="preserve">4.2 ΑΝΤΛΙΑ ΘΕΡΜΟΤΗΤΑΣ </t>
    </r>
    <r>
      <rPr>
        <sz val="9"/>
        <color theme="1"/>
        <rFont val="Calibri"/>
        <family val="2"/>
        <charset val="161"/>
        <scheme val="minor"/>
      </rPr>
      <t>(για τοπικό σύστημα)</t>
    </r>
  </si>
  <si>
    <t>βαθμός απόδοσης δικτύου: 1,00 / βαθμός απόδοσης τερματικής μονάδας τύπου split (Α/C) : 0,93</t>
  </si>
  <si>
    <t>άτομα ή εμβ. ή συνδυασμό των δυο</t>
  </si>
  <si>
    <t>εισάγουμε την ισχύ και το Β.Απ. του κατασκευαστή, Β.Απ. Δικτύου 1, Β.Απ. Τερμ. Μονάδων όπως παραπάνω και βοηθ. Μονάδες από κατασκευαστή.</t>
  </si>
  <si>
    <t>χαμηλότερη θερμ. νερού:</t>
  </si>
  <si>
    <t xml:space="preserve">κλ. ζώνη </t>
  </si>
  <si>
    <t>ψυχ. επιφάνεια</t>
  </si>
  <si>
    <t>ποσοστό</t>
  </si>
  <si>
    <r>
      <t xml:space="preserve">σύστημα με αντλίες θερμότητας ισχύος </t>
    </r>
    <r>
      <rPr>
        <b/>
        <i/>
        <sz val="9"/>
        <color theme="7" tint="-0.499984740745262"/>
        <rFont val="Calibri"/>
        <family val="2"/>
        <charset val="161"/>
        <scheme val="minor"/>
      </rPr>
      <t>0,00</t>
    </r>
  </si>
  <si>
    <r>
      <t>βαθμός κάλυψης [</t>
    </r>
    <r>
      <rPr>
        <b/>
        <i/>
        <sz val="9"/>
        <color theme="7" tint="-0.499984740745262"/>
        <rFont val="Calibri"/>
        <family val="2"/>
        <charset val="161"/>
        <scheme val="minor"/>
      </rPr>
      <t>0,50</t>
    </r>
    <r>
      <rPr>
        <i/>
        <sz val="9"/>
        <color theme="7" tint="-0.499984740745262"/>
        <rFont val="Calibri"/>
        <family val="2"/>
        <charset val="161"/>
        <scheme val="minor"/>
      </rPr>
      <t xml:space="preserve"> / 1,00]</t>
    </r>
  </si>
  <si>
    <r>
      <t xml:space="preserve">ισχύς δικτύου </t>
    </r>
    <r>
      <rPr>
        <b/>
        <i/>
        <sz val="9"/>
        <color theme="7" tint="-0.499984740745262"/>
        <rFont val="Calibri"/>
        <family val="2"/>
        <charset val="161"/>
        <scheme val="minor"/>
      </rPr>
      <t>0.00</t>
    </r>
    <r>
      <rPr>
        <i/>
        <sz val="9"/>
        <color theme="7" tint="-0.499984740745262"/>
        <rFont val="Calibri"/>
        <family val="2"/>
        <charset val="161"/>
        <scheme val="minor"/>
      </rPr>
      <t>, σε εσ. ή/και 20% σε εξ.</t>
    </r>
  </si>
  <si>
    <r>
      <t>βαθμός απόδοσης δικτύου [</t>
    </r>
    <r>
      <rPr>
        <b/>
        <i/>
        <sz val="9"/>
        <color theme="7" tint="-0.499984740745262"/>
        <rFont val="Calibri"/>
        <family val="2"/>
        <charset val="161"/>
        <scheme val="minor"/>
      </rPr>
      <t>1,00</t>
    </r>
    <r>
      <rPr>
        <i/>
        <sz val="9"/>
        <color theme="7" tint="-0.499984740745262"/>
        <rFont val="Calibri"/>
        <family val="2"/>
        <charset val="161"/>
        <scheme val="minor"/>
      </rPr>
      <t xml:space="preserve"> / 0,95]</t>
    </r>
  </si>
  <si>
    <r>
      <t>βαθμός αποδ. τερμ. μονάδων [</t>
    </r>
    <r>
      <rPr>
        <b/>
        <i/>
        <sz val="9"/>
        <color theme="7" tint="-0.499984740745262"/>
        <rFont val="Calibri"/>
        <family val="2"/>
        <charset val="161"/>
        <scheme val="minor"/>
      </rPr>
      <t>0,93</t>
    </r>
    <r>
      <rPr>
        <i/>
        <sz val="9"/>
        <color theme="7" tint="-0.499984740745262"/>
        <rFont val="Calibri"/>
        <family val="2"/>
        <charset val="161"/>
        <scheme val="minor"/>
      </rPr>
      <t>/0,93]</t>
    </r>
  </si>
  <si>
    <t xml:space="preserve">Συνολικό ποσοστό: </t>
  </si>
  <si>
    <t>[ίσο ή μεγαλύτερο του 0,50 για κατοικίες και 1 για τριτογενή τομέα]</t>
  </si>
  <si>
    <r>
      <t>ισχύς βοηθητικών μονάδων [</t>
    </r>
    <r>
      <rPr>
        <b/>
        <i/>
        <sz val="9"/>
        <color theme="7" tint="-0.499984740745262"/>
        <rFont val="Calibri"/>
        <family val="2"/>
        <charset val="161"/>
        <scheme val="minor"/>
      </rPr>
      <t xml:space="preserve">0,00 </t>
    </r>
    <r>
      <rPr>
        <i/>
        <sz val="9"/>
        <color theme="7" tint="-0.499984740745262"/>
        <rFont val="Calibri"/>
        <family val="2"/>
        <charset val="161"/>
        <scheme val="minor"/>
      </rPr>
      <t>/ 5</t>
    </r>
    <r>
      <rPr>
        <i/>
        <sz val="8"/>
        <color theme="7" tint="-0.499984740745262"/>
        <rFont val="Calibri"/>
        <family val="2"/>
        <charset val="161"/>
        <scheme val="minor"/>
      </rPr>
      <t>W/m2</t>
    </r>
    <r>
      <rPr>
        <i/>
        <sz val="9"/>
        <color theme="7" tint="-0.499984740745262"/>
        <rFont val="Calibri"/>
        <family val="2"/>
        <charset val="161"/>
        <scheme val="minor"/>
      </rPr>
      <t>]</t>
    </r>
  </si>
  <si>
    <r>
      <t>θεωρητικό σύστημα</t>
    </r>
    <r>
      <rPr>
        <sz val="8"/>
        <color theme="7" tint="-0.499984740745262"/>
        <rFont val="Calibri"/>
        <family val="2"/>
        <charset val="161"/>
        <scheme val="minor"/>
      </rPr>
      <t xml:space="preserve"> [κατοικίες/τριτογενής]</t>
    </r>
  </si>
  <si>
    <t>Σε μικρά κτίρια όπως πχ κτίρια κατοικιών και κεντρικά συστήματα με μικρές απαιτήσεις το σύστημα θεωρείτε τοπικό. Για μεγάλες απαιτήσεις ΖΝΧ υπολογίζετε το δίκτυο με τον πιν. 4.16 σελ. 122.</t>
  </si>
  <si>
    <t>χρήση</t>
  </si>
  <si>
    <t>πόλη</t>
  </si>
  <si>
    <t>κλίση</t>
  </si>
  <si>
    <t>φθορές</t>
  </si>
  <si>
    <r>
      <t>επιφάνεια</t>
    </r>
    <r>
      <rPr>
        <sz val="8"/>
        <color theme="1"/>
        <rFont val="Calibri"/>
        <family val="2"/>
        <charset val="161"/>
        <scheme val="minor"/>
      </rPr>
      <t xml:space="preserve"> τ.μ.</t>
    </r>
  </si>
  <si>
    <t>πόρτες:</t>
  </si>
  <si>
    <r>
      <t xml:space="preserve">3. ΔΙΑΦΑΝΗΣ ΕΠΙΦΑΝΕΙΕΣ  </t>
    </r>
    <r>
      <rPr>
        <sz val="9"/>
        <color theme="1"/>
        <rFont val="Calibri"/>
        <family val="2"/>
        <charset val="161"/>
        <scheme val="minor"/>
      </rPr>
      <t>[και μη θερμ. χώρων/διαχωρ. επιφαν.]</t>
    </r>
  </si>
  <si>
    <r>
      <t xml:space="preserve">2. ΑΔΙΑΦΑΝΗΣ ΕΠΙΦΑΝΕΙΕΣ  </t>
    </r>
    <r>
      <rPr>
        <sz val="9"/>
        <color theme="1"/>
        <rFont val="Calibri"/>
        <family val="2"/>
        <charset val="161"/>
        <scheme val="minor"/>
      </rPr>
      <t>[και μη θερμ. χώρων/διαχωρ. επιφαν.]</t>
    </r>
  </si>
  <si>
    <r>
      <t xml:space="preserve">Fhor </t>
    </r>
    <r>
      <rPr>
        <sz val="11"/>
        <color theme="1"/>
        <rFont val="Calibri"/>
        <family val="2"/>
        <charset val="161"/>
        <scheme val="minor"/>
      </rPr>
      <t>(απέναντι εμπ.)</t>
    </r>
  </si>
  <si>
    <r>
      <t xml:space="preserve">Fov </t>
    </r>
    <r>
      <rPr>
        <sz val="11"/>
        <color theme="1"/>
        <rFont val="Calibri"/>
        <family val="2"/>
        <charset val="161"/>
        <scheme val="minor"/>
      </rPr>
      <t>(πρόβολος)</t>
    </r>
  </si>
  <si>
    <r>
      <t>Fov</t>
    </r>
    <r>
      <rPr>
        <sz val="11"/>
        <color theme="1"/>
        <rFont val="Calibri"/>
        <family val="2"/>
        <charset val="161"/>
        <scheme val="minor"/>
      </rPr>
      <t>c με τέντα</t>
    </r>
  </si>
  <si>
    <r>
      <rPr>
        <b/>
        <sz val="11"/>
        <color theme="1"/>
        <rFont val="Calibri"/>
        <family val="2"/>
        <charset val="161"/>
        <scheme val="minor"/>
      </rPr>
      <t>Ffin</t>
    </r>
    <r>
      <rPr>
        <sz val="9"/>
        <color theme="1"/>
        <rFont val="Calibri"/>
        <family val="2"/>
        <charset val="161"/>
        <scheme val="minor"/>
      </rPr>
      <t xml:space="preserve"> πλ. </t>
    </r>
    <r>
      <rPr>
        <sz val="11"/>
        <color theme="1"/>
        <rFont val="Calibri"/>
        <family val="2"/>
        <charset val="161"/>
        <scheme val="minor"/>
      </rPr>
      <t>Αριστερά</t>
    </r>
  </si>
  <si>
    <r>
      <rPr>
        <b/>
        <sz val="11"/>
        <color theme="1"/>
        <rFont val="Calibri"/>
        <family val="2"/>
        <charset val="161"/>
        <scheme val="minor"/>
      </rPr>
      <t>Ffin</t>
    </r>
    <r>
      <rPr>
        <sz val="11"/>
        <color theme="1"/>
        <rFont val="Calibri"/>
        <family val="2"/>
        <charset val="161"/>
        <scheme val="minor"/>
      </rPr>
      <t xml:space="preserve"> </t>
    </r>
    <r>
      <rPr>
        <sz val="9"/>
        <color theme="1"/>
        <rFont val="Calibri"/>
        <family val="2"/>
        <charset val="161"/>
        <scheme val="minor"/>
      </rPr>
      <t>πλ.</t>
    </r>
    <r>
      <rPr>
        <sz val="11"/>
        <color theme="1"/>
        <rFont val="Calibri"/>
        <family val="2"/>
        <charset val="161"/>
        <scheme val="minor"/>
      </rPr>
      <t xml:space="preserve"> Δεξιά</t>
    </r>
  </si>
  <si>
    <r>
      <rPr>
        <b/>
        <sz val="11"/>
        <color theme="1"/>
        <rFont val="Calibri"/>
        <family val="2"/>
        <charset val="161"/>
        <scheme val="minor"/>
      </rPr>
      <t>Ffin</t>
    </r>
    <r>
      <rPr>
        <sz val="9"/>
        <color theme="1"/>
        <rFont val="Calibri"/>
        <family val="2"/>
        <charset val="161"/>
        <scheme val="minor"/>
      </rPr>
      <t xml:space="preserve"> πλ. </t>
    </r>
    <r>
      <rPr>
        <sz val="11"/>
        <color theme="1"/>
        <rFont val="Calibri"/>
        <family val="2"/>
        <charset val="161"/>
        <scheme val="minor"/>
      </rPr>
      <t>αριστερά</t>
    </r>
  </si>
  <si>
    <r>
      <rPr>
        <b/>
        <sz val="11"/>
        <color theme="1"/>
        <rFont val="Calibri"/>
        <family val="2"/>
        <charset val="161"/>
        <scheme val="minor"/>
      </rPr>
      <t>Ffin</t>
    </r>
    <r>
      <rPr>
        <sz val="11"/>
        <color theme="1"/>
        <rFont val="Calibri"/>
        <family val="2"/>
        <charset val="161"/>
        <scheme val="minor"/>
      </rPr>
      <t xml:space="preserve"> </t>
    </r>
    <r>
      <rPr>
        <sz val="9"/>
        <color theme="1"/>
        <rFont val="Calibri"/>
        <family val="2"/>
        <charset val="161"/>
        <scheme val="minor"/>
      </rPr>
      <t>πλ.</t>
    </r>
    <r>
      <rPr>
        <sz val="11"/>
        <color theme="1"/>
        <rFont val="Calibri"/>
        <family val="2"/>
        <charset val="161"/>
        <scheme val="minor"/>
      </rPr>
      <t xml:space="preserve"> δεξιά</t>
    </r>
  </si>
  <si>
    <r>
      <t>σκαριφήματα υπολογισμού γωνιών σκίασης</t>
    </r>
    <r>
      <rPr>
        <b/>
        <i/>
        <sz val="11"/>
        <color theme="1" tint="0.34998626667073579"/>
        <rFont val="Calibri"/>
        <family val="2"/>
        <charset val="161"/>
        <scheme val="minor"/>
      </rPr>
      <t xml:space="preserve"> αδιαφανών </t>
    </r>
    <r>
      <rPr>
        <i/>
        <sz val="11"/>
        <color theme="1" tint="0.34998626667073579"/>
        <rFont val="Calibri"/>
        <family val="2"/>
        <charset val="161"/>
        <scheme val="minor"/>
      </rPr>
      <t>επιφανειών</t>
    </r>
  </si>
  <si>
    <r>
      <t xml:space="preserve">σκαριφήματα υπολογισμού γωνιών σκίασης </t>
    </r>
    <r>
      <rPr>
        <b/>
        <i/>
        <sz val="11"/>
        <color theme="1" tint="0.34998626667073579"/>
        <rFont val="Calibri"/>
        <family val="2"/>
        <charset val="161"/>
        <scheme val="minor"/>
      </rPr>
      <t>διαφανών</t>
    </r>
    <r>
      <rPr>
        <i/>
        <sz val="11"/>
        <color theme="1" tint="0.34998626667073579"/>
        <rFont val="Calibri"/>
        <family val="2"/>
        <charset val="161"/>
        <scheme val="minor"/>
      </rPr>
      <t xml:space="preserve"> επιφανειών</t>
    </r>
  </si>
  <si>
    <r>
      <t xml:space="preserve">Διείσδυση αέρα  </t>
    </r>
    <r>
      <rPr>
        <b/>
        <sz val="11"/>
        <color theme="5" tint="-0.499984740745262"/>
        <rFont val="Calibri"/>
        <family val="2"/>
        <charset val="161"/>
        <scheme val="minor"/>
      </rPr>
      <t xml:space="preserve"> </t>
    </r>
    <r>
      <rPr>
        <sz val="9"/>
        <color theme="3" tint="-0.249977111117893"/>
        <rFont val="Calibri"/>
        <family val="2"/>
        <charset val="161"/>
        <scheme val="minor"/>
      </rPr>
      <t xml:space="preserve">είδος </t>
    </r>
    <r>
      <rPr>
        <b/>
        <sz val="9"/>
        <color theme="3" tint="-0.249977111117893"/>
        <rFont val="Calibri"/>
        <family val="2"/>
        <charset val="161"/>
        <scheme val="minor"/>
      </rPr>
      <t>Α</t>
    </r>
    <r>
      <rPr>
        <b/>
        <sz val="8"/>
        <color theme="3" tint="-0.249977111117893"/>
        <rFont val="Calibri"/>
        <family val="2"/>
        <charset val="161"/>
      </rPr>
      <t>↓</t>
    </r>
  </si>
  <si>
    <r>
      <t>+</t>
    </r>
    <r>
      <rPr>
        <sz val="10"/>
        <color theme="2" tint="-0.749992370372631"/>
        <rFont val="Calibri"/>
        <family val="2"/>
        <charset val="161"/>
        <scheme val="minor"/>
      </rPr>
      <t xml:space="preserve"> </t>
    </r>
    <r>
      <rPr>
        <sz val="9"/>
        <color theme="2" tint="-0.749992370372631"/>
        <rFont val="Calibri"/>
        <family val="2"/>
        <charset val="161"/>
        <scheme val="minor"/>
      </rPr>
      <t xml:space="preserve">άλλο είδος </t>
    </r>
    <r>
      <rPr>
        <b/>
        <sz val="9"/>
        <color theme="2" tint="-0.749992370372631"/>
        <rFont val="Calibri"/>
        <family val="2"/>
        <charset val="161"/>
        <scheme val="minor"/>
      </rPr>
      <t>Β</t>
    </r>
    <r>
      <rPr>
        <sz val="9"/>
        <color theme="2" tint="-0.749992370372631"/>
        <rFont val="Calibri"/>
        <family val="2"/>
        <charset val="161"/>
        <scheme val="minor"/>
      </rPr>
      <t>:</t>
    </r>
  </si>
  <si>
    <r>
      <t>+</t>
    </r>
    <r>
      <rPr>
        <sz val="10"/>
        <color theme="2" tint="-0.749992370372631"/>
        <rFont val="Calibri"/>
        <family val="2"/>
        <charset val="161"/>
        <scheme val="minor"/>
      </rPr>
      <t xml:space="preserve"> </t>
    </r>
    <r>
      <rPr>
        <sz val="9"/>
        <color theme="2" tint="-0.749992370372631"/>
        <rFont val="Calibri"/>
        <family val="2"/>
        <charset val="161"/>
        <scheme val="minor"/>
      </rPr>
      <t xml:space="preserve">άλλο είδος </t>
    </r>
    <r>
      <rPr>
        <b/>
        <sz val="9"/>
        <color theme="2" tint="-0.749992370372631"/>
        <rFont val="Calibri"/>
        <family val="2"/>
        <charset val="161"/>
        <scheme val="minor"/>
      </rPr>
      <t>Γ</t>
    </r>
    <r>
      <rPr>
        <sz val="9"/>
        <color theme="2" tint="-0.749992370372631"/>
        <rFont val="Calibri"/>
        <family val="2"/>
        <charset val="161"/>
        <scheme val="minor"/>
      </rPr>
      <t>:</t>
    </r>
  </si>
  <si>
    <r>
      <rPr>
        <b/>
        <sz val="10"/>
        <color theme="1" tint="0.249977111117893"/>
        <rFont val="Calibri"/>
        <family val="2"/>
        <charset val="161"/>
        <scheme val="minor"/>
      </rPr>
      <t xml:space="preserve">ΓΕΝΙΚΕΣ ΟΔΗΓΙΕΣ - ΠΑΡΑΤΗΡΗΣΕΙΣ </t>
    </r>
    <r>
      <rPr>
        <sz val="9"/>
        <color theme="1" tint="0.249977111117893"/>
        <rFont val="Calibri"/>
        <family val="2"/>
        <charset val="161"/>
        <scheme val="minor"/>
      </rPr>
      <t>(download ΓΕΝΙΚΕΣ ΟΔΗΓΙΕΣ ΧΡΗΣΗΣ.pdf)
   Για τους συντελεστές σκίασης πραγματοποιείται αυτόματα</t>
    </r>
    <r>
      <rPr>
        <b/>
        <sz val="9"/>
        <color theme="1" tint="0.249977111117893"/>
        <rFont val="Calibri"/>
        <family val="2"/>
        <charset val="161"/>
        <scheme val="minor"/>
      </rPr>
      <t xml:space="preserve"> γραμμική παρεμβολή </t>
    </r>
    <r>
      <rPr>
        <sz val="9"/>
        <color theme="1" tint="0.249977111117893"/>
        <rFont val="Calibri"/>
        <family val="2"/>
        <charset val="161"/>
        <scheme val="minor"/>
      </rPr>
      <t xml:space="preserve">ως προς τις γωνίες σκίασης και τον προσανατολισμό, σύμφωνα με την  ΤΟΤΕΕ-20701-1/2010 και τους πίνακες που περιλαμβάνει (ακρίβεια λόγο στρογγυλοποιήσεων </t>
    </r>
    <r>
      <rPr>
        <sz val="9"/>
        <color theme="1" tint="0.249977111117893"/>
        <rFont val="Calibri"/>
        <family val="2"/>
        <charset val="161"/>
      </rPr>
      <t>±</t>
    </r>
    <r>
      <rPr>
        <sz val="9"/>
        <color theme="1" tint="0.249977111117893"/>
        <rFont val="Calibri"/>
        <family val="2"/>
        <charset val="161"/>
        <scheme val="minor"/>
      </rPr>
      <t xml:space="preserve">0,01). 
   Στα κελιά με </t>
    </r>
    <r>
      <rPr>
        <b/>
        <sz val="9"/>
        <rFont val="Calibri"/>
        <family val="2"/>
        <charset val="161"/>
        <scheme val="minor"/>
      </rPr>
      <t>κόκκινη ένδειξη</t>
    </r>
    <r>
      <rPr>
        <sz val="9"/>
        <color theme="1" tint="0.249977111117893"/>
        <rFont val="Calibri"/>
        <family val="2"/>
        <charset val="161"/>
        <scheme val="minor"/>
      </rPr>
      <t xml:space="preserve">, με την τοποθέτηση του κέρσορα εμφανίζεται </t>
    </r>
    <r>
      <rPr>
        <b/>
        <sz val="9"/>
        <color theme="1" tint="0.249977111117893"/>
        <rFont val="Calibri"/>
        <family val="2"/>
        <charset val="161"/>
        <scheme val="minor"/>
      </rPr>
      <t xml:space="preserve">μήνυμα - σχόλιο </t>
    </r>
    <r>
      <rPr>
        <sz val="9"/>
        <color theme="1" tint="0.249977111117893"/>
        <rFont val="Calibri"/>
        <family val="2"/>
        <charset val="161"/>
        <scheme val="minor"/>
      </rPr>
      <t xml:space="preserve">με τις τιμές που μπορούν να εισαχθούν σύμφωνα με την ΤΟΤΕΕ-20701-1/2010, στο αντίστοιχο πεδίο. 
   Σε περίπτωση που κάποια αυτόματα υπολογισμένη τιμή </t>
    </r>
    <r>
      <rPr>
        <b/>
        <sz val="9"/>
        <color theme="1" tint="0.249977111117893"/>
        <rFont val="Calibri"/>
        <family val="2"/>
        <charset val="161"/>
        <scheme val="minor"/>
      </rPr>
      <t>δεν ικανοποιεί τους κανονισμούς</t>
    </r>
    <r>
      <rPr>
        <sz val="9"/>
        <color theme="1" tint="0.249977111117893"/>
        <rFont val="Calibri"/>
        <family val="2"/>
        <charset val="161"/>
        <scheme val="minor"/>
      </rPr>
      <t xml:space="preserve">, τότε πατώντας πάνω στο κελί, εισάγετε την σωστή τιμή (μη αυτόματος υπολογισμός για λιγότερο συνήθεις περιπτώσεις που δεν έχουν αυτοματοποιηθεί - προγραμματιστεί).
   Για </t>
    </r>
    <r>
      <rPr>
        <b/>
        <sz val="9"/>
        <color theme="1" tint="0.249977111117893"/>
        <rFont val="Calibri"/>
        <family val="2"/>
        <charset val="161"/>
        <scheme val="minor"/>
      </rPr>
      <t>επιπλέον αδιαφανή ή διαφανή στοιχεία</t>
    </r>
    <r>
      <rPr>
        <sz val="9"/>
        <color theme="1" tint="0.249977111117893"/>
        <rFont val="Calibri"/>
        <family val="2"/>
        <charset val="161"/>
        <scheme val="minor"/>
      </rPr>
      <t xml:space="preserve">, εισάγετε αντίστοιχο αριθμό γραμμών εντος του πίνακα, κάντε κλικ στον αριθμό της προηγούμενης τελευταίας γραμμής, τοποθετήστε τον κέρσορα και κάντε κλικ στο μαύρο κουτί που εμφανίζεται κάτω δεξιά του αριθμού της γραμμής και κρατώντας πατημένο το μαύρο κουτί, σύρετε προς τα κάτω και σε όλες τις νέες γραμμές προκειμένου να αντιγραφούν οι συναρτήσεις. Τελος, Διορθώστε την αρίθμηση των στοιχείων στην πρώτη στήλη (δείτε αναλυτικά την διαδικασία στο τεύχος ΓΕΝΙΚΕΣ ΟΔΗΓΙΕΣ ΧΡΗΣΗΣ, σελ.11).
   Εάν εξετάζεται </t>
    </r>
    <r>
      <rPr>
        <b/>
        <sz val="9"/>
        <color theme="1" tint="0.249977111117893"/>
        <rFont val="Calibri"/>
        <family val="2"/>
        <charset val="161"/>
        <scheme val="minor"/>
      </rPr>
      <t xml:space="preserve">ολόκληρο το κτίριο </t>
    </r>
    <r>
      <rPr>
        <sz val="9"/>
        <color theme="1" tint="0.249977111117893"/>
        <rFont val="Calibri"/>
        <family val="2"/>
        <charset val="161"/>
        <scheme val="minor"/>
      </rPr>
      <t xml:space="preserve">και υπάρχουν </t>
    </r>
    <r>
      <rPr>
        <b/>
        <sz val="9"/>
        <color theme="1" tint="0.249977111117893"/>
        <rFont val="Calibri"/>
        <family val="2"/>
        <charset val="161"/>
        <scheme val="minor"/>
      </rPr>
      <t>μη θερμαινόμενοι χώροι</t>
    </r>
    <r>
      <rPr>
        <sz val="9"/>
        <color theme="1" tint="0.249977111117893"/>
        <rFont val="Calibri"/>
        <family val="2"/>
        <charset val="161"/>
        <scheme val="minor"/>
      </rPr>
      <t xml:space="preserve">, εισάγετε τις διαφανείς και αδιαφανείς εξωτερικές επιφάνειες του μη θερμαινόμενου χώρου και τις διαχωριστικές επιφάνειες στον ίδιο πίνακα με κατάλληλη περιγραφή. Κατα την αντιγραφή των στοιχείων στο λογισμικό του ΤΕΕ, τοποθετήστε τις τιμές στις αντίστοιχες καρτέλες.
   Οι επιφάνειες </t>
    </r>
    <r>
      <rPr>
        <b/>
        <sz val="9"/>
        <color theme="1" tint="0.249977111117893"/>
        <rFont val="Calibri"/>
        <family val="2"/>
        <charset val="161"/>
        <scheme val="minor"/>
      </rPr>
      <t xml:space="preserve">σε επαφή με το έδαφος </t>
    </r>
    <r>
      <rPr>
        <sz val="9"/>
        <color theme="1" tint="0.249977111117893"/>
        <rFont val="Calibri"/>
        <family val="2"/>
        <charset val="161"/>
        <scheme val="minor"/>
      </rPr>
      <t xml:space="preserve">εισάγονται απευθείας στο λογισμικό ΤΕΕ (δεν απαιτούνται υπολογισμοί παρά μόνο τα γεωμετρικά στοιχεία από το σκαρίφημα του κελύφους και το U).
   Εάν δώσουμε </t>
    </r>
    <r>
      <rPr>
        <b/>
        <sz val="9"/>
        <color theme="1" tint="0.249977111117893"/>
        <rFont val="Calibri"/>
        <family val="2"/>
        <charset val="161"/>
        <scheme val="minor"/>
      </rPr>
      <t>αρνητικό μήκος σε μια αδιαφανή επιφάνεια</t>
    </r>
    <r>
      <rPr>
        <sz val="9"/>
        <color theme="1" tint="0.249977111117893"/>
        <rFont val="Calibri"/>
        <family val="2"/>
        <charset val="161"/>
        <scheme val="minor"/>
      </rPr>
      <t xml:space="preserve"> και εξετάζουμε κτιριακή μονάδα, τότε θεωρείτε επιφάνεια προς μη θερμαινόμενο χώρο, μειώνετε το U κατά 50% και μηδενίζονται οι συντελεστές σκίασης (πλήρης σκιά). Εάν εξετάζουμε ολόκληρο το κτίριο, τότε θεωρείτε διαχωριστική επιφάνεια και μηδενίζονται οι συντελεστές σκίασης.
   Εάν δώσουμε </t>
    </r>
    <r>
      <rPr>
        <b/>
        <sz val="9"/>
        <color theme="1" tint="0.249977111117893"/>
        <rFont val="Calibri"/>
        <family val="2"/>
        <charset val="161"/>
        <scheme val="minor"/>
      </rPr>
      <t>αρνητικό μήκος σε μια διαφανής επιφάνεια</t>
    </r>
    <r>
      <rPr>
        <sz val="9"/>
        <color theme="1" tint="0.249977111117893"/>
        <rFont val="Calibri"/>
        <family val="2"/>
        <charset val="161"/>
        <scheme val="minor"/>
      </rPr>
      <t xml:space="preserve">, τότε μηδενίζονται οι συντελεστές σκίασης (πχ παράθυρο σε φωταγωγό ή προς μη θερμαινόμενο χώρο).
   Όταν είναι </t>
    </r>
    <r>
      <rPr>
        <b/>
        <sz val="9"/>
        <color theme="1" tint="0.249977111117893"/>
        <rFont val="Calibri"/>
        <family val="2"/>
        <charset val="161"/>
        <scheme val="minor"/>
      </rPr>
      <t>γνωστός ο συντελεστής θερμοπερατότητας U</t>
    </r>
    <r>
      <rPr>
        <sz val="9"/>
        <color theme="1" tint="0.249977111117893"/>
        <rFont val="Calibri"/>
        <family val="2"/>
        <charset val="161"/>
        <scheme val="minor"/>
      </rPr>
      <t xml:space="preserve"> μιας επιφάνειας (πχ από μελέτη ΚΘΚ) ή όταν χρησιμοποιούμε τον μέγιστο επιτρεπόμενο, τότε εισάγουμε την τιμή απευθείας στην στήλη Uτ (και αφήνουμε κενό το κελί του %betton και το U</t>
    </r>
    <r>
      <rPr>
        <sz val="8"/>
        <color theme="1" tint="0.249977111117893"/>
        <rFont val="Calibri"/>
        <family val="2"/>
        <charset val="161"/>
        <scheme val="minor"/>
      </rPr>
      <t>b</t>
    </r>
    <r>
      <rPr>
        <sz val="9"/>
        <color theme="1" tint="0.249977111117893"/>
        <rFont val="Calibri"/>
        <family val="2"/>
        <charset val="161"/>
        <scheme val="minor"/>
      </rPr>
      <t>).
  Εάν υπάρχει</t>
    </r>
    <r>
      <rPr>
        <b/>
        <sz val="9"/>
        <color theme="1" tint="0.249977111117893"/>
        <rFont val="Calibri"/>
        <family val="2"/>
        <charset val="161"/>
        <scheme val="minor"/>
      </rPr>
      <t xml:space="preserve"> τέντα</t>
    </r>
    <r>
      <rPr>
        <sz val="9"/>
        <color theme="1" tint="0.249977111117893"/>
        <rFont val="Calibri"/>
        <family val="2"/>
        <charset val="161"/>
        <scheme val="minor"/>
      </rPr>
      <t xml:space="preserve"> μπροστά από κάποια επιφάνεια, τότε εισάγουμε το καθαρό ελεύθερο ύψος</t>
    </r>
    <r>
      <rPr>
        <b/>
        <sz val="9"/>
        <color theme="1" tint="0.249977111117893"/>
        <rFont val="Calibri"/>
        <family val="2"/>
        <charset val="161"/>
        <scheme val="minor"/>
      </rPr>
      <t xml:space="preserve"> H2</t>
    </r>
    <r>
      <rPr>
        <sz val="9"/>
        <color theme="1" tint="0.249977111117893"/>
        <rFont val="Calibri"/>
        <family val="2"/>
        <charset val="161"/>
        <scheme val="minor"/>
      </rPr>
      <t xml:space="preserve"> όταν η τέντα είναι κατεβασμένη, την κάθετη απόσταση</t>
    </r>
    <r>
      <rPr>
        <b/>
        <sz val="9"/>
        <color theme="1" tint="0.249977111117893"/>
        <rFont val="Calibri"/>
        <family val="2"/>
        <charset val="161"/>
        <scheme val="minor"/>
      </rPr>
      <t xml:space="preserve"> L2</t>
    </r>
    <r>
      <rPr>
        <sz val="9"/>
        <color theme="1" tint="0.249977111117893"/>
        <rFont val="Calibri"/>
        <family val="2"/>
        <charset val="161"/>
        <scheme val="minor"/>
      </rPr>
      <t xml:space="preserve"> μέχρι την επιφάνεια και το ημιση του καθαρου υψους </t>
    </r>
    <r>
      <rPr>
        <b/>
        <sz val="9"/>
        <color theme="1" tint="0.249977111117893"/>
        <rFont val="Calibri"/>
        <family val="2"/>
        <charset val="161"/>
        <scheme val="minor"/>
      </rPr>
      <t>Ηκαθ/2</t>
    </r>
    <r>
      <rPr>
        <sz val="9"/>
        <color theme="1" tint="0.249977111117893"/>
        <rFont val="Calibri"/>
        <family val="2"/>
        <charset val="161"/>
        <scheme val="minor"/>
      </rPr>
      <t xml:space="preserve"> στην στηλη του Fov, έτσι ώστε να υπολογιστεί ο συντελεστής Fovc με αυτή την γωνία. Εάν η γωνία προκύψει </t>
    </r>
    <r>
      <rPr>
        <b/>
        <sz val="9"/>
        <color theme="1" tint="0.249977111117893"/>
        <rFont val="Calibri"/>
        <family val="2"/>
        <charset val="161"/>
        <scheme val="minor"/>
      </rPr>
      <t>μεγαλύτερη από 90</t>
    </r>
    <r>
      <rPr>
        <b/>
        <vertAlign val="superscript"/>
        <sz val="9"/>
        <color theme="1" tint="0.249977111117893"/>
        <rFont val="Calibri"/>
        <family val="2"/>
        <charset val="161"/>
        <scheme val="minor"/>
      </rPr>
      <t>ο</t>
    </r>
    <r>
      <rPr>
        <sz val="9"/>
        <color theme="1" tint="0.249977111117893"/>
        <rFont val="Calibri"/>
        <family val="2"/>
        <charset val="161"/>
        <scheme val="minor"/>
      </rPr>
      <t xml:space="preserve">, τότε λαμβάνετε ο  μικρότερος συντελεστής.
  </t>
    </r>
  </si>
  <si>
    <r>
      <t xml:space="preserve">= </t>
    </r>
    <r>
      <rPr>
        <b/>
        <sz val="7"/>
        <color theme="5" tint="-0.499984740745262"/>
        <rFont val="Calibri"/>
        <family val="2"/>
        <charset val="161"/>
        <scheme val="minor"/>
      </rPr>
      <t>[m</t>
    </r>
    <r>
      <rPr>
        <b/>
        <vertAlign val="superscript"/>
        <sz val="7"/>
        <color theme="5" tint="-0.499984740745262"/>
        <rFont val="Calibri"/>
        <family val="2"/>
        <charset val="161"/>
        <scheme val="minor"/>
      </rPr>
      <t>3</t>
    </r>
    <r>
      <rPr>
        <b/>
        <sz val="7"/>
        <color theme="5" tint="-0.499984740745262"/>
        <rFont val="Calibri"/>
        <family val="2"/>
        <charset val="161"/>
        <scheme val="minor"/>
      </rPr>
      <t>/h]</t>
    </r>
  </si>
  <si>
    <t>εξωτ. διαστάσεις:</t>
  </si>
  <si>
    <t>αριθμ. υαλοπίν.:</t>
  </si>
  <si>
    <t>Χ διαστ.:</t>
  </si>
  <si>
    <t>Uv_F  Aναλυτικά</t>
  </si>
  <si>
    <t>εμβαδον ανοιγματος</t>
  </si>
  <si>
    <t>εμβαδον υαλοπινακων</t>
  </si>
  <si>
    <t>μηκος επαφης τζαμιου-πλασιου</t>
  </si>
  <si>
    <t>εμβαδον πλαισιου</t>
  </si>
  <si>
    <t>ποσοστο πλασιου (%)</t>
  </si>
  <si>
    <r>
      <t>τυπικές τιμές συντελεστή θερμοπ. U</t>
    </r>
    <r>
      <rPr>
        <b/>
        <sz val="7"/>
        <color theme="2" tint="-0.749992370372631"/>
        <rFont val="Calibri"/>
        <family val="2"/>
        <charset val="161"/>
        <scheme val="minor"/>
      </rPr>
      <t>v_F</t>
    </r>
    <r>
      <rPr>
        <b/>
        <sz val="9"/>
        <color theme="2" tint="-0.749992370372631"/>
        <rFont val="Calibri"/>
        <family val="2"/>
        <charset val="161"/>
        <scheme val="minor"/>
      </rPr>
      <t xml:space="preserve"> (±0.10) &amp; g</t>
    </r>
    <r>
      <rPr>
        <b/>
        <sz val="7"/>
        <color theme="2" tint="-0.749992370372631"/>
        <rFont val="Calibri"/>
        <family val="2"/>
        <charset val="161"/>
        <scheme val="minor"/>
      </rPr>
      <t>_w</t>
    </r>
  </si>
  <si>
    <r>
      <rPr>
        <b/>
        <sz val="10"/>
        <color theme="0"/>
        <rFont val="Calibri"/>
        <family val="2"/>
        <charset val="161"/>
        <scheme val="minor"/>
      </rPr>
      <t>U</t>
    </r>
    <r>
      <rPr>
        <sz val="7"/>
        <color theme="0"/>
        <rFont val="Calibri"/>
        <family val="2"/>
        <charset val="161"/>
        <scheme val="minor"/>
      </rPr>
      <t>v_F</t>
    </r>
    <r>
      <rPr>
        <b/>
        <sz val="9"/>
        <color theme="0"/>
        <rFont val="Calibri"/>
        <family val="2"/>
        <charset val="161"/>
        <scheme val="minor"/>
      </rPr>
      <t xml:space="preserve">  Aναλυτικά</t>
    </r>
  </si>
  <si>
    <t>[αρνητικο μηκος: Fx=0,00,πληρης σκια</t>
  </si>
  <si>
    <r>
      <rPr>
        <b/>
        <sz val="9"/>
        <color theme="0"/>
        <rFont val="Calibri"/>
        <family val="2"/>
        <charset val="161"/>
        <scheme val="minor"/>
      </rPr>
      <t xml:space="preserve">% </t>
    </r>
    <r>
      <rPr>
        <sz val="9"/>
        <color theme="0"/>
        <rFont val="Calibri"/>
        <family val="2"/>
        <charset val="161"/>
        <scheme val="minor"/>
      </rPr>
      <t>bet &gt;</t>
    </r>
  </si>
  <si>
    <r>
      <t>&lt;</t>
    </r>
    <r>
      <rPr>
        <b/>
        <sz val="9"/>
        <color theme="0"/>
        <rFont val="Calibri"/>
        <family val="2"/>
        <charset val="161"/>
        <scheme val="minor"/>
      </rPr>
      <t xml:space="preserve"> </t>
    </r>
    <r>
      <rPr>
        <sz val="8"/>
        <color theme="0"/>
        <rFont val="Calibri"/>
        <family val="2"/>
        <charset val="161"/>
        <scheme val="minor"/>
      </rPr>
      <t>συντ.</t>
    </r>
    <r>
      <rPr>
        <b/>
        <sz val="9"/>
        <color theme="0"/>
        <rFont val="Calibri"/>
        <family val="2"/>
        <charset val="161"/>
        <scheme val="minor"/>
      </rPr>
      <t>U</t>
    </r>
  </si>
  <si>
    <t>κτιριακη μοναδα</t>
  </si>
</sst>
</file>

<file path=xl/styles.xml><?xml version="1.0" encoding="utf-8"?>
<styleSheet xmlns="http://schemas.openxmlformats.org/spreadsheetml/2006/main">
  <numFmts count="6">
    <numFmt numFmtId="43" formatCode="_-* #,##0.00\ _€_-;\-* #,##0.00\ _€_-;_-* &quot;-&quot;??\ _€_-;_-@_-"/>
    <numFmt numFmtId="164" formatCode="dd/mm/yy;@"/>
    <numFmt numFmtId="165" formatCode="0.0"/>
    <numFmt numFmtId="166" formatCode="0.000"/>
    <numFmt numFmtId="167" formatCode="#,##0.000"/>
    <numFmt numFmtId="168" formatCode="0.0000"/>
  </numFmts>
  <fonts count="140">
    <font>
      <sz val="11"/>
      <color theme="1"/>
      <name val="Calibri"/>
      <family val="2"/>
      <charset val="161"/>
      <scheme val="minor"/>
    </font>
    <font>
      <b/>
      <sz val="11"/>
      <color theme="1"/>
      <name val="Calibri"/>
      <family val="2"/>
      <charset val="161"/>
      <scheme val="minor"/>
    </font>
    <font>
      <sz val="9"/>
      <color theme="1"/>
      <name val="Calibri"/>
      <family val="2"/>
      <charset val="161"/>
      <scheme val="minor"/>
    </font>
    <font>
      <sz val="11"/>
      <name val="Calibri"/>
      <family val="2"/>
      <charset val="161"/>
      <scheme val="minor"/>
    </font>
    <font>
      <sz val="11"/>
      <color theme="5" tint="-0.499984740745262"/>
      <name val="Calibri"/>
      <family val="2"/>
      <charset val="161"/>
      <scheme val="minor"/>
    </font>
    <font>
      <b/>
      <sz val="11"/>
      <color theme="5" tint="-0.499984740745262"/>
      <name val="Calibri"/>
      <family val="2"/>
      <charset val="161"/>
      <scheme val="minor"/>
    </font>
    <font>
      <b/>
      <sz val="8"/>
      <color theme="5" tint="-0.499984740745262"/>
      <name val="Calibri"/>
      <family val="2"/>
      <charset val="161"/>
      <scheme val="minor"/>
    </font>
    <font>
      <sz val="9"/>
      <color indexed="81"/>
      <name val="Tahoma"/>
      <family val="2"/>
      <charset val="161"/>
    </font>
    <font>
      <sz val="10"/>
      <color theme="1"/>
      <name val="Calibri"/>
      <family val="2"/>
      <charset val="161"/>
      <scheme val="minor"/>
    </font>
    <font>
      <b/>
      <sz val="10"/>
      <color theme="1"/>
      <name val="Calibri"/>
      <family val="2"/>
      <charset val="161"/>
      <scheme val="minor"/>
    </font>
    <font>
      <sz val="8"/>
      <color theme="1"/>
      <name val="Calibri"/>
      <family val="2"/>
      <charset val="161"/>
      <scheme val="minor"/>
    </font>
    <font>
      <sz val="10"/>
      <name val="Arial"/>
      <family val="2"/>
      <charset val="161"/>
    </font>
    <font>
      <sz val="9"/>
      <color theme="5" tint="-0.499984740745262"/>
      <name val="Calibri"/>
      <family val="2"/>
      <charset val="161"/>
      <scheme val="minor"/>
    </font>
    <font>
      <sz val="11"/>
      <color theme="0" tint="-0.34998626667073579"/>
      <name val="Calibri"/>
      <family val="2"/>
      <charset val="161"/>
      <scheme val="minor"/>
    </font>
    <font>
      <sz val="8"/>
      <name val="Calibri"/>
      <family val="2"/>
      <charset val="161"/>
      <scheme val="minor"/>
    </font>
    <font>
      <sz val="8"/>
      <color theme="5" tint="-0.499984740745262"/>
      <name val="Calibri"/>
      <family val="2"/>
      <charset val="161"/>
      <scheme val="minor"/>
    </font>
    <font>
      <b/>
      <i/>
      <sz val="10"/>
      <name val="Arial"/>
      <family val="2"/>
      <charset val="161"/>
    </font>
    <font>
      <b/>
      <i/>
      <vertAlign val="subscript"/>
      <sz val="10"/>
      <name val="Arial"/>
      <family val="2"/>
      <charset val="161"/>
    </font>
    <font>
      <b/>
      <sz val="10"/>
      <name val="Arial"/>
      <family val="2"/>
      <charset val="161"/>
    </font>
    <font>
      <i/>
      <sz val="10"/>
      <name val="Arial"/>
      <family val="2"/>
      <charset val="161"/>
    </font>
    <font>
      <b/>
      <sz val="11"/>
      <color theme="0" tint="-0.34998626667073579"/>
      <name val="Calibri"/>
      <family val="2"/>
      <charset val="161"/>
      <scheme val="minor"/>
    </font>
    <font>
      <i/>
      <sz val="11"/>
      <color theme="0" tint="-0.249977111117893"/>
      <name val="Calibri"/>
      <family val="2"/>
      <charset val="161"/>
      <scheme val="minor"/>
    </font>
    <font>
      <sz val="10"/>
      <color theme="5" tint="-0.499984740745262"/>
      <name val="Calibri"/>
      <family val="2"/>
      <charset val="161"/>
      <scheme val="minor"/>
    </font>
    <font>
      <b/>
      <sz val="10"/>
      <color theme="5" tint="-0.499984740745262"/>
      <name val="Calibri"/>
      <family val="2"/>
      <charset val="161"/>
      <scheme val="minor"/>
    </font>
    <font>
      <b/>
      <sz val="10"/>
      <color theme="7" tint="-0.499984740745262"/>
      <name val="Calibri"/>
      <family val="2"/>
      <charset val="161"/>
      <scheme val="minor"/>
    </font>
    <font>
      <b/>
      <sz val="8"/>
      <color theme="7" tint="-0.499984740745262"/>
      <name val="Calibri"/>
      <family val="2"/>
      <charset val="161"/>
      <scheme val="minor"/>
    </font>
    <font>
      <sz val="10"/>
      <name val="Calibri"/>
      <family val="2"/>
      <charset val="161"/>
      <scheme val="minor"/>
    </font>
    <font>
      <sz val="10"/>
      <color theme="6" tint="-0.499984740745262"/>
      <name val="Calibri"/>
      <family val="2"/>
      <charset val="161"/>
      <scheme val="minor"/>
    </font>
    <font>
      <sz val="10"/>
      <color theme="3" tint="-0.499984740745262"/>
      <name val="Calibri"/>
      <family val="2"/>
      <charset val="161"/>
      <scheme val="minor"/>
    </font>
    <font>
      <b/>
      <sz val="10"/>
      <color theme="6" tint="-0.499984740745262"/>
      <name val="Calibri"/>
      <family val="2"/>
      <charset val="161"/>
      <scheme val="minor"/>
    </font>
    <font>
      <i/>
      <sz val="9"/>
      <color theme="1"/>
      <name val="Calibri"/>
      <family val="2"/>
      <charset val="161"/>
      <scheme val="minor"/>
    </font>
    <font>
      <sz val="11"/>
      <color theme="7" tint="-0.499984740745262"/>
      <name val="Calibri"/>
      <family val="2"/>
      <charset val="161"/>
      <scheme val="minor"/>
    </font>
    <font>
      <sz val="8"/>
      <color theme="7" tint="-0.499984740745262"/>
      <name val="Calibri"/>
      <family val="2"/>
      <charset val="161"/>
      <scheme val="minor"/>
    </font>
    <font>
      <i/>
      <sz val="9"/>
      <color theme="7" tint="-0.499984740745262"/>
      <name val="Calibri"/>
      <family val="2"/>
      <charset val="161"/>
      <scheme val="minor"/>
    </font>
    <font>
      <sz val="10"/>
      <color rgb="FF002060"/>
      <name val="Calibri"/>
      <family val="2"/>
      <charset val="161"/>
      <scheme val="minor"/>
    </font>
    <font>
      <b/>
      <sz val="10"/>
      <color rgb="FF002060"/>
      <name val="Calibri"/>
      <family val="2"/>
      <charset val="161"/>
      <scheme val="minor"/>
    </font>
    <font>
      <b/>
      <sz val="12"/>
      <color rgb="FF002060"/>
      <name val="Calibri"/>
      <family val="2"/>
      <charset val="161"/>
      <scheme val="minor"/>
    </font>
    <font>
      <sz val="9"/>
      <color rgb="FF002060"/>
      <name val="Calibri"/>
      <family val="2"/>
      <charset val="161"/>
      <scheme val="minor"/>
    </font>
    <font>
      <sz val="10"/>
      <color theme="1" tint="0.249977111117893"/>
      <name val="Calibri"/>
      <family val="2"/>
      <charset val="161"/>
      <scheme val="minor"/>
    </font>
    <font>
      <b/>
      <sz val="10"/>
      <color theme="1" tint="0.249977111117893"/>
      <name val="Calibri"/>
      <family val="2"/>
      <charset val="161"/>
      <scheme val="minor"/>
    </font>
    <font>
      <sz val="11"/>
      <color theme="1" tint="0.34998626667073579"/>
      <name val="Calibri"/>
      <family val="2"/>
      <charset val="161"/>
      <scheme val="minor"/>
    </font>
    <font>
      <i/>
      <sz val="8"/>
      <color theme="7" tint="-0.499984740745262"/>
      <name val="Calibri"/>
      <family val="2"/>
      <charset val="161"/>
      <scheme val="minor"/>
    </font>
    <font>
      <sz val="8"/>
      <color theme="1" tint="0.34998626667073579"/>
      <name val="Calibri"/>
      <family val="2"/>
      <charset val="161"/>
      <scheme val="minor"/>
    </font>
    <font>
      <sz val="8"/>
      <color rgb="FF002060"/>
      <name val="Calibri"/>
      <family val="2"/>
      <charset val="161"/>
      <scheme val="minor"/>
    </font>
    <font>
      <b/>
      <sz val="11"/>
      <color rgb="FF002060"/>
      <name val="Calibri"/>
      <family val="2"/>
      <charset val="161"/>
      <scheme val="minor"/>
    </font>
    <font>
      <i/>
      <sz val="11"/>
      <color theme="1" tint="0.34998626667073579"/>
      <name val="Calibri"/>
      <family val="2"/>
      <charset val="161"/>
      <scheme val="minor"/>
    </font>
    <font>
      <sz val="9.5"/>
      <color theme="5" tint="-0.499984740745262"/>
      <name val="Calibri"/>
      <family val="2"/>
      <charset val="161"/>
      <scheme val="minor"/>
    </font>
    <font>
      <sz val="10"/>
      <color theme="1" tint="0.34998626667073579"/>
      <name val="Calibri"/>
      <family val="2"/>
      <charset val="161"/>
      <scheme val="minor"/>
    </font>
    <font>
      <sz val="9"/>
      <color theme="6" tint="-0.499984740745262"/>
      <name val="Calibri"/>
      <family val="2"/>
      <charset val="161"/>
      <scheme val="minor"/>
    </font>
    <font>
      <i/>
      <sz val="9"/>
      <color theme="6" tint="-0.499984740745262"/>
      <name val="Calibri"/>
      <family val="2"/>
      <charset val="161"/>
      <scheme val="minor"/>
    </font>
    <font>
      <sz val="8"/>
      <color theme="6" tint="-0.499984740745262"/>
      <name val="Calibri"/>
      <family val="2"/>
      <charset val="161"/>
      <scheme val="minor"/>
    </font>
    <font>
      <b/>
      <sz val="9"/>
      <color theme="7" tint="-0.499984740745262"/>
      <name val="Calibri"/>
      <family val="2"/>
      <charset val="161"/>
      <scheme val="minor"/>
    </font>
    <font>
      <sz val="11"/>
      <color theme="6" tint="-0.499984740745262"/>
      <name val="Calibri"/>
      <family val="2"/>
      <charset val="161"/>
      <scheme val="minor"/>
    </font>
    <font>
      <sz val="9"/>
      <color theme="4" tint="-0.499984740745262"/>
      <name val="Calibri"/>
      <family val="2"/>
      <charset val="161"/>
      <scheme val="minor"/>
    </font>
    <font>
      <sz val="8"/>
      <color indexed="81"/>
      <name val="Tahoma"/>
      <family val="2"/>
      <charset val="161"/>
    </font>
    <font>
      <b/>
      <sz val="8"/>
      <color indexed="81"/>
      <name val="Tahoma"/>
      <family val="2"/>
      <charset val="161"/>
    </font>
    <font>
      <u/>
      <sz val="8"/>
      <color indexed="81"/>
      <name val="Tahoma"/>
      <family val="2"/>
      <charset val="161"/>
    </font>
    <font>
      <b/>
      <u/>
      <sz val="8"/>
      <color indexed="81"/>
      <name val="Tahoma"/>
      <family val="2"/>
      <charset val="161"/>
    </font>
    <font>
      <sz val="7"/>
      <color rgb="FF002060"/>
      <name val="Calibri"/>
      <family val="2"/>
      <charset val="161"/>
      <scheme val="minor"/>
    </font>
    <font>
      <b/>
      <sz val="7"/>
      <color rgb="FF002060"/>
      <name val="Calibri"/>
      <family val="2"/>
      <charset val="161"/>
      <scheme val="minor"/>
    </font>
    <font>
      <sz val="7"/>
      <color theme="1"/>
      <name val="Calibri"/>
      <family val="2"/>
      <charset val="161"/>
      <scheme val="minor"/>
    </font>
    <font>
      <i/>
      <sz val="7"/>
      <color indexed="81"/>
      <name val="Tahoma"/>
      <family val="2"/>
      <charset val="161"/>
    </font>
    <font>
      <b/>
      <i/>
      <sz val="9"/>
      <color theme="7" tint="-0.499984740745262"/>
      <name val="Calibri"/>
      <family val="2"/>
      <charset val="161"/>
      <scheme val="minor"/>
    </font>
    <font>
      <b/>
      <sz val="9"/>
      <color indexed="81"/>
      <name val="Tahoma"/>
      <family val="2"/>
      <charset val="161"/>
    </font>
    <font>
      <u/>
      <sz val="11"/>
      <color theme="10"/>
      <name val="Calibri"/>
      <family val="2"/>
      <charset val="161"/>
    </font>
    <font>
      <sz val="9"/>
      <name val="Calibri"/>
      <family val="2"/>
      <charset val="161"/>
      <scheme val="minor"/>
    </font>
    <font>
      <sz val="7"/>
      <name val="Calibri"/>
      <family val="2"/>
      <charset val="161"/>
      <scheme val="minor"/>
    </font>
    <font>
      <b/>
      <sz val="9"/>
      <color theme="6" tint="-0.499984740745262"/>
      <name val="Calibri"/>
      <family val="2"/>
      <charset val="161"/>
      <scheme val="minor"/>
    </font>
    <font>
      <b/>
      <i/>
      <sz val="11"/>
      <color theme="1" tint="0.34998626667073579"/>
      <name val="Calibri"/>
      <family val="2"/>
      <charset val="161"/>
      <scheme val="minor"/>
    </font>
    <font>
      <sz val="12"/>
      <color theme="1"/>
      <name val="Calibri"/>
      <family val="2"/>
      <charset val="161"/>
      <scheme val="minor"/>
    </font>
    <font>
      <sz val="12"/>
      <color theme="5" tint="-0.499984740745262"/>
      <name val="Calibri"/>
      <family val="2"/>
      <charset val="161"/>
      <scheme val="minor"/>
    </font>
    <font>
      <sz val="10"/>
      <color theme="4" tint="-0.499984740745262"/>
      <name val="Calibri"/>
      <family val="2"/>
      <charset val="161"/>
    </font>
    <font>
      <u/>
      <sz val="10"/>
      <color theme="4" tint="-0.499984740745262"/>
      <name val="Calibri"/>
      <family val="2"/>
      <charset val="161"/>
    </font>
    <font>
      <i/>
      <sz val="9"/>
      <color theme="0" tint="-0.34998626667073579"/>
      <name val="Calibri"/>
      <family val="2"/>
      <charset val="161"/>
      <scheme val="minor"/>
    </font>
    <font>
      <sz val="8"/>
      <color theme="2" tint="-0.749992370372631"/>
      <name val="Calibri"/>
      <family val="2"/>
      <charset val="161"/>
      <scheme val="minor"/>
    </font>
    <font>
      <sz val="9"/>
      <color theme="2" tint="-0.749992370372631"/>
      <name val="Calibri"/>
      <family val="2"/>
      <charset val="161"/>
      <scheme val="minor"/>
    </font>
    <font>
      <sz val="10"/>
      <color theme="2" tint="-0.749992370372631"/>
      <name val="Calibri"/>
      <family val="2"/>
      <charset val="161"/>
      <scheme val="minor"/>
    </font>
    <font>
      <sz val="9"/>
      <color theme="1" tint="0.249977111117893"/>
      <name val="Calibri"/>
      <family val="2"/>
      <charset val="161"/>
      <scheme val="minor"/>
    </font>
    <font>
      <b/>
      <sz val="9"/>
      <color theme="1" tint="0.249977111117893"/>
      <name val="Calibri"/>
      <family val="2"/>
      <charset val="161"/>
      <scheme val="minor"/>
    </font>
    <font>
      <sz val="7"/>
      <color indexed="81"/>
      <name val="Tahoma"/>
      <family val="2"/>
      <charset val="161"/>
    </font>
    <font>
      <sz val="11.5"/>
      <color rgb="FFFFC000"/>
      <name val="Calibri"/>
      <family val="2"/>
      <charset val="161"/>
      <scheme val="minor"/>
    </font>
    <font>
      <b/>
      <sz val="11.5"/>
      <color rgb="FFFFC000"/>
      <name val="Calibri"/>
      <family val="2"/>
      <charset val="161"/>
      <scheme val="minor"/>
    </font>
    <font>
      <sz val="10"/>
      <color theme="9" tint="-0.499984740745262"/>
      <name val="Calibri"/>
      <family val="2"/>
      <charset val="161"/>
      <scheme val="minor"/>
    </font>
    <font>
      <sz val="8"/>
      <color theme="9" tint="-0.499984740745262"/>
      <name val="Calibri"/>
      <family val="2"/>
      <charset val="161"/>
      <scheme val="minor"/>
    </font>
    <font>
      <sz val="9"/>
      <color theme="0" tint="-0.499984740745262"/>
      <name val="Calibri"/>
      <family val="2"/>
      <charset val="161"/>
      <scheme val="minor"/>
    </font>
    <font>
      <b/>
      <sz val="10"/>
      <color theme="0" tint="-0.499984740745262"/>
      <name val="Calibri"/>
      <family val="2"/>
      <charset val="161"/>
      <scheme val="minor"/>
    </font>
    <font>
      <b/>
      <sz val="11.5"/>
      <color theme="1" tint="0.34998626667073579"/>
      <name val="Calibri"/>
      <family val="2"/>
      <charset val="161"/>
      <scheme val="minor"/>
    </font>
    <font>
      <b/>
      <sz val="11.5"/>
      <color theme="1" tint="0.249977111117893"/>
      <name val="Calibri"/>
      <family val="2"/>
      <charset val="161"/>
      <scheme val="minor"/>
    </font>
    <font>
      <b/>
      <sz val="11.5"/>
      <color theme="1" tint="0.249977111117893"/>
      <name val="Calibri"/>
      <family val="2"/>
      <charset val="161"/>
    </font>
    <font>
      <b/>
      <sz val="9"/>
      <color rgb="FFFFC000"/>
      <name val="Calibri"/>
      <family val="2"/>
      <charset val="161"/>
      <scheme val="minor"/>
    </font>
    <font>
      <b/>
      <sz val="8"/>
      <color theme="2" tint="-0.749992370372631"/>
      <name val="Calibri"/>
      <family val="2"/>
      <charset val="161"/>
      <scheme val="minor"/>
    </font>
    <font>
      <b/>
      <sz val="8"/>
      <color theme="9" tint="-0.499984740745262"/>
      <name val="Calibri"/>
      <family val="2"/>
      <charset val="161"/>
      <scheme val="minor"/>
    </font>
    <font>
      <b/>
      <sz val="8"/>
      <color rgb="FFFFC000"/>
      <name val="Calibri"/>
      <family val="2"/>
      <charset val="161"/>
      <scheme val="minor"/>
    </font>
    <font>
      <b/>
      <sz val="9"/>
      <name val="Calibri"/>
      <family val="2"/>
      <charset val="161"/>
      <scheme val="minor"/>
    </font>
    <font>
      <b/>
      <vertAlign val="superscript"/>
      <sz val="9"/>
      <color theme="1" tint="0.249977111117893"/>
      <name val="Calibri"/>
      <family val="2"/>
      <charset val="161"/>
      <scheme val="minor"/>
    </font>
    <font>
      <sz val="11"/>
      <color theme="1"/>
      <name val="Calibri"/>
      <family val="2"/>
      <charset val="161"/>
    </font>
    <font>
      <sz val="10"/>
      <color rgb="FF002060"/>
      <name val="Calibri"/>
      <family val="2"/>
      <charset val="161"/>
    </font>
    <font>
      <u/>
      <sz val="10"/>
      <color rgb="FF002060"/>
      <name val="Calibri"/>
      <family val="2"/>
      <charset val="161"/>
    </font>
    <font>
      <b/>
      <sz val="7"/>
      <color indexed="81"/>
      <name val="Tahoma"/>
      <family val="2"/>
      <charset val="161"/>
    </font>
    <font>
      <sz val="10"/>
      <color theme="0" tint="-0.34998626667073579"/>
      <name val="Calibri"/>
      <family val="2"/>
      <charset val="161"/>
      <scheme val="minor"/>
    </font>
    <font>
      <b/>
      <sz val="10"/>
      <color theme="0" tint="-0.34998626667073579"/>
      <name val="Calibri"/>
      <family val="2"/>
      <charset val="161"/>
      <scheme val="minor"/>
    </font>
    <font>
      <sz val="11"/>
      <color theme="1"/>
      <name val="Calibri"/>
      <family val="2"/>
      <charset val="161"/>
      <scheme val="minor"/>
    </font>
    <font>
      <sz val="8"/>
      <color theme="1" tint="0.249977111117893"/>
      <name val="Calibri"/>
      <family val="2"/>
      <charset val="161"/>
      <scheme val="minor"/>
    </font>
    <font>
      <i/>
      <sz val="10"/>
      <color theme="1"/>
      <name val="Calibri"/>
      <family val="2"/>
      <charset val="161"/>
      <scheme val="minor"/>
    </font>
    <font>
      <b/>
      <u/>
      <sz val="10"/>
      <color theme="1" tint="0.499984740745262"/>
      <name val="Calibri"/>
      <family val="2"/>
      <charset val="161"/>
      <scheme val="minor"/>
    </font>
    <font>
      <b/>
      <sz val="10"/>
      <color theme="1" tint="0.499984740745262"/>
      <name val="Calibri"/>
      <family val="2"/>
      <charset val="161"/>
      <scheme val="minor"/>
    </font>
    <font>
      <sz val="11"/>
      <color theme="1" tint="0.499984740745262"/>
      <name val="Calibri"/>
      <family val="2"/>
      <charset val="161"/>
      <scheme val="minor"/>
    </font>
    <font>
      <sz val="9"/>
      <color theme="1" tint="0.249977111117893"/>
      <name val="Calibri"/>
      <family val="2"/>
      <charset val="161"/>
    </font>
    <font>
      <sz val="9"/>
      <color theme="1" tint="0.499984740745262"/>
      <name val="Calibri"/>
      <family val="2"/>
      <charset val="161"/>
      <scheme val="minor"/>
    </font>
    <font>
      <sz val="10"/>
      <color theme="1" tint="0.34998626667073579"/>
      <name val="Calibri"/>
      <family val="2"/>
      <charset val="161"/>
    </font>
    <font>
      <b/>
      <sz val="9"/>
      <color theme="2" tint="-0.749992370372631"/>
      <name val="Calibri"/>
      <family val="2"/>
      <charset val="161"/>
      <scheme val="minor"/>
    </font>
    <font>
      <b/>
      <sz val="8"/>
      <color theme="1"/>
      <name val="Calibri"/>
      <family val="2"/>
      <charset val="161"/>
      <scheme val="minor"/>
    </font>
    <font>
      <b/>
      <sz val="9"/>
      <color theme="5" tint="-0.499984740745262"/>
      <name val="Calibri"/>
      <family val="2"/>
      <charset val="161"/>
      <scheme val="minor"/>
    </font>
    <font>
      <sz val="8.5"/>
      <color theme="2" tint="-0.749992370372631"/>
      <name val="Calibri"/>
      <family val="2"/>
      <charset val="161"/>
      <scheme val="minor"/>
    </font>
    <font>
      <sz val="7"/>
      <color theme="5" tint="-0.499984740745262"/>
      <name val="Calibri"/>
      <family val="2"/>
      <charset val="161"/>
      <scheme val="minor"/>
    </font>
    <font>
      <sz val="9"/>
      <color theme="2" tint="-0.89999084444715716"/>
      <name val="Calibri"/>
      <family val="2"/>
      <charset val="161"/>
      <scheme val="minor"/>
    </font>
    <font>
      <sz val="8"/>
      <color theme="1" tint="0.499984740745262"/>
      <name val="Calibri"/>
      <family val="2"/>
      <charset val="161"/>
      <scheme val="minor"/>
    </font>
    <font>
      <i/>
      <sz val="11"/>
      <color theme="1" tint="0.249977111117893"/>
      <name val="Calibri"/>
      <family val="2"/>
      <charset val="161"/>
      <scheme val="minor"/>
    </font>
    <font>
      <sz val="10"/>
      <color theme="7" tint="-0.499984740745262"/>
      <name val="Calibri"/>
      <family val="2"/>
      <charset val="161"/>
      <scheme val="minor"/>
    </font>
    <font>
      <sz val="9"/>
      <color theme="7" tint="-0.499984740745262"/>
      <name val="Calibri"/>
      <family val="2"/>
      <charset val="161"/>
      <scheme val="minor"/>
    </font>
    <font>
      <sz val="10"/>
      <color theme="3" tint="-0.249977111117893"/>
      <name val="Calibri"/>
      <family val="2"/>
      <charset val="161"/>
      <scheme val="minor"/>
    </font>
    <font>
      <b/>
      <sz val="10"/>
      <color theme="3" tint="-0.249977111117893"/>
      <name val="Calibri"/>
      <family val="2"/>
      <charset val="161"/>
      <scheme val="minor"/>
    </font>
    <font>
      <sz val="9"/>
      <color theme="3" tint="-0.249977111117893"/>
      <name val="Calibri"/>
      <family val="2"/>
      <charset val="161"/>
      <scheme val="minor"/>
    </font>
    <font>
      <b/>
      <sz val="11"/>
      <color theme="3" tint="-0.249977111117893"/>
      <name val="Calibri"/>
      <family val="2"/>
      <charset val="161"/>
      <scheme val="minor"/>
    </font>
    <font>
      <b/>
      <sz val="12"/>
      <color theme="3" tint="-0.249977111117893"/>
      <name val="Calibri"/>
      <family val="2"/>
      <charset val="161"/>
      <scheme val="minor"/>
    </font>
    <font>
      <b/>
      <sz val="12"/>
      <color rgb="FFFFC000"/>
      <name val="Calibri"/>
      <family val="2"/>
      <charset val="161"/>
      <scheme val="minor"/>
    </font>
    <font>
      <sz val="7"/>
      <color theme="3" tint="-0.249977111117893"/>
      <name val="Calibri"/>
      <family val="2"/>
      <charset val="161"/>
      <scheme val="minor"/>
    </font>
    <font>
      <b/>
      <sz val="8"/>
      <color theme="3" tint="-0.249977111117893"/>
      <name val="Calibri"/>
      <family val="2"/>
      <charset val="161"/>
    </font>
    <font>
      <b/>
      <sz val="12"/>
      <color theme="2" tint="-0.749992370372631"/>
      <name val="Calibri"/>
      <family val="2"/>
      <charset val="161"/>
      <scheme val="minor"/>
    </font>
    <font>
      <b/>
      <sz val="10"/>
      <color theme="2" tint="-0.749992370372631"/>
      <name val="Calibri"/>
      <family val="2"/>
      <charset val="161"/>
      <scheme val="minor"/>
    </font>
    <font>
      <b/>
      <sz val="9"/>
      <color theme="3" tint="-0.249977111117893"/>
      <name val="Calibri"/>
      <family val="2"/>
      <charset val="161"/>
      <scheme val="minor"/>
    </font>
    <font>
      <b/>
      <sz val="7"/>
      <color theme="5" tint="-0.499984740745262"/>
      <name val="Calibri"/>
      <family val="2"/>
      <charset val="161"/>
      <scheme val="minor"/>
    </font>
    <font>
      <b/>
      <vertAlign val="superscript"/>
      <sz val="7"/>
      <color theme="5" tint="-0.499984740745262"/>
      <name val="Calibri"/>
      <family val="2"/>
      <charset val="161"/>
      <scheme val="minor"/>
    </font>
    <font>
      <b/>
      <sz val="7"/>
      <color theme="2" tint="-0.749992370372631"/>
      <name val="Calibri"/>
      <family val="2"/>
      <charset val="161"/>
      <scheme val="minor"/>
    </font>
    <font>
      <b/>
      <sz val="9"/>
      <color theme="0"/>
      <name val="Calibri"/>
      <family val="2"/>
      <charset val="161"/>
      <scheme val="minor"/>
    </font>
    <font>
      <sz val="7"/>
      <color theme="0"/>
      <name val="Calibri"/>
      <family val="2"/>
      <charset val="161"/>
      <scheme val="minor"/>
    </font>
    <font>
      <b/>
      <sz val="10"/>
      <color theme="0"/>
      <name val="Calibri"/>
      <family val="2"/>
      <charset val="161"/>
      <scheme val="minor"/>
    </font>
    <font>
      <sz val="8"/>
      <color indexed="81"/>
      <name val="Times New Roman"/>
      <family val="1"/>
      <charset val="161"/>
    </font>
    <font>
      <sz val="9"/>
      <color theme="0"/>
      <name val="Calibri"/>
      <family val="2"/>
      <charset val="161"/>
      <scheme val="minor"/>
    </font>
    <font>
      <sz val="8"/>
      <color theme="0"/>
      <name val="Calibri"/>
      <family val="2"/>
      <charset val="161"/>
      <scheme val="minor"/>
    </font>
  </fonts>
  <fills count="12">
    <fill>
      <patternFill patternType="none"/>
    </fill>
    <fill>
      <patternFill patternType="gray125"/>
    </fill>
    <fill>
      <patternFill patternType="solid">
        <fgColor rgb="FFF2F6EA"/>
        <bgColor indexed="64"/>
      </patternFill>
    </fill>
    <fill>
      <patternFill patternType="solid">
        <fgColor theme="2"/>
        <bgColor indexed="64"/>
      </patternFill>
    </fill>
    <fill>
      <patternFill patternType="solid">
        <fgColor theme="1" tint="0.34998626667073579"/>
        <bgColor indexed="64"/>
      </patternFill>
    </fill>
    <fill>
      <patternFill patternType="solid">
        <fgColor rgb="FFFFC00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6F4F0"/>
        <bgColor indexed="64"/>
      </patternFill>
    </fill>
    <fill>
      <patternFill patternType="solid">
        <fgColor rgb="FFE7EDF5"/>
        <bgColor indexed="64"/>
      </patternFill>
    </fill>
    <fill>
      <patternFill patternType="solid">
        <fgColor theme="2" tint="-0.499984740745262"/>
        <bgColor indexed="64"/>
      </patternFill>
    </fill>
  </fills>
  <borders count="9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theme="7" tint="-0.499984740745262"/>
      </top>
      <bottom/>
      <diagonal/>
    </border>
    <border>
      <left style="double">
        <color theme="7" tint="-0.499984740745262"/>
      </left>
      <right/>
      <top/>
      <bottom/>
      <diagonal/>
    </border>
    <border>
      <left style="double">
        <color theme="7" tint="-0.499984740745262"/>
      </left>
      <right style="thin">
        <color indexed="64"/>
      </right>
      <top/>
      <bottom/>
      <diagonal/>
    </border>
    <border>
      <left/>
      <right style="double">
        <color theme="7" tint="-0.499984740745262"/>
      </right>
      <top/>
      <bottom/>
      <diagonal/>
    </border>
    <border>
      <left/>
      <right/>
      <top/>
      <bottom style="dashDotDot">
        <color theme="0" tint="-0.24994659260841701"/>
      </bottom>
      <diagonal/>
    </border>
    <border>
      <left/>
      <right/>
      <top style="thin">
        <color indexed="64"/>
      </top>
      <bottom style="dashDotDot">
        <color theme="0" tint="-0.24994659260841701"/>
      </bottom>
      <diagonal/>
    </border>
    <border>
      <left/>
      <right style="thin">
        <color indexed="64"/>
      </right>
      <top style="thin">
        <color indexed="64"/>
      </top>
      <bottom style="dashDotDot">
        <color theme="0" tint="-0.24994659260841701"/>
      </bottom>
      <diagonal/>
    </border>
    <border>
      <left style="dashDotDot">
        <color theme="0" tint="-0.24994659260841701"/>
      </left>
      <right/>
      <top/>
      <bottom/>
      <diagonal/>
    </border>
    <border>
      <left style="dashDotDot">
        <color indexed="64"/>
      </left>
      <right/>
      <top style="thin">
        <color indexed="64"/>
      </top>
      <bottom/>
      <diagonal/>
    </border>
    <border>
      <left style="dashDotDot">
        <color indexed="64"/>
      </left>
      <right/>
      <top/>
      <bottom/>
      <diagonal/>
    </border>
    <border>
      <left style="dashDot">
        <color indexed="64"/>
      </left>
      <right style="dashDot">
        <color indexed="64"/>
      </right>
      <top style="dashDot">
        <color indexed="64"/>
      </top>
      <bottom style="thin">
        <color indexed="64"/>
      </bottom>
      <diagonal/>
    </border>
    <border>
      <left style="thin">
        <color indexed="64"/>
      </left>
      <right/>
      <top style="thin">
        <color indexed="64"/>
      </top>
      <bottom style="dashDotDot">
        <color theme="0" tint="-0.24994659260841701"/>
      </bottom>
      <diagonal/>
    </border>
    <border>
      <left style="double">
        <color theme="7" tint="-0.499984740745262"/>
      </left>
      <right style="thin">
        <color indexed="64"/>
      </right>
      <top/>
      <bottom style="thin">
        <color indexed="64"/>
      </bottom>
      <diagonal/>
    </border>
    <border>
      <left style="double">
        <color theme="7" tint="-0.499984740745262"/>
      </left>
      <right/>
      <top style="thin">
        <color indexed="64"/>
      </top>
      <bottom style="thin">
        <color indexed="64"/>
      </bottom>
      <diagonal/>
    </border>
    <border>
      <left style="double">
        <color theme="7" tint="-0.499984740745262"/>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style="thin">
        <color theme="2" tint="-0.499984740745262"/>
      </right>
      <top style="dashed">
        <color theme="2" tint="-0.499984740745262"/>
      </top>
      <bottom style="thin">
        <color theme="2" tint="-0.499984740745262"/>
      </bottom>
      <diagonal/>
    </border>
    <border>
      <left style="thin">
        <color theme="2" tint="-0.499984740745262"/>
      </left>
      <right style="dashed">
        <color theme="2" tint="-0.499984740745262"/>
      </right>
      <top style="dashed">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style="thin">
        <color theme="2" tint="-0.499984740745262"/>
      </top>
      <bottom/>
      <diagonal/>
    </border>
    <border>
      <left/>
      <right/>
      <top/>
      <bottom style="thick">
        <color theme="2" tint="-0.499984740745262"/>
      </bottom>
      <diagonal/>
    </border>
    <border>
      <left style="thick">
        <color theme="2" tint="-0.499984740745262"/>
      </left>
      <right/>
      <top/>
      <bottom style="thin">
        <color theme="2" tint="-0.499984740745262"/>
      </bottom>
      <diagonal/>
    </border>
    <border>
      <left/>
      <right style="thin">
        <color theme="2" tint="-0.499984740745262"/>
      </right>
      <top/>
      <bottom style="thick">
        <color theme="2" tint="-0.499984740745262"/>
      </bottom>
      <diagonal/>
    </border>
    <border>
      <left style="thin">
        <color theme="2" tint="-0.499984740745262"/>
      </left>
      <right/>
      <top/>
      <bottom style="thick">
        <color theme="2" tint="-0.499984740745262"/>
      </bottom>
      <diagonal/>
    </border>
    <border>
      <left style="dashDotDot">
        <color theme="1" tint="0.499984740745262"/>
      </left>
      <right/>
      <top/>
      <bottom/>
      <diagonal/>
    </border>
    <border>
      <left style="dashDotDot">
        <color theme="0" tint="-0.34998626667073579"/>
      </left>
      <right/>
      <top/>
      <bottom/>
      <diagonal/>
    </border>
    <border>
      <left style="thick">
        <color theme="2" tint="-0.499984740745262"/>
      </left>
      <right/>
      <top style="thick">
        <color theme="2" tint="-0.499984740745262"/>
      </top>
      <bottom/>
      <diagonal/>
    </border>
    <border>
      <left/>
      <right/>
      <top style="thick">
        <color theme="2" tint="-0.499984740745262"/>
      </top>
      <bottom/>
      <diagonal/>
    </border>
    <border>
      <left style="thick">
        <color theme="2" tint="-0.499984740745262"/>
      </left>
      <right style="thin">
        <color theme="2" tint="-0.499984740745262"/>
      </right>
      <top/>
      <bottom style="thick">
        <color theme="2" tint="-0.499984740745262"/>
      </bottom>
      <diagonal/>
    </border>
    <border>
      <left/>
      <right/>
      <top style="thin">
        <color indexed="64"/>
      </top>
      <bottom style="thick">
        <color theme="2" tint="-0.499984740745262"/>
      </bottom>
      <diagonal/>
    </border>
    <border>
      <left/>
      <right style="thick">
        <color theme="2" tint="-0.499984740745262"/>
      </right>
      <top style="thick">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n">
        <color theme="2" tint="-0.499984740745262"/>
      </bottom>
      <diagonal/>
    </border>
    <border>
      <left/>
      <right style="thin">
        <color indexed="64"/>
      </right>
      <top style="thin">
        <color indexed="64"/>
      </top>
      <bottom style="thick">
        <color theme="2" tint="-0.499984740745262"/>
      </bottom>
      <diagonal/>
    </border>
    <border>
      <left style="thin">
        <color indexed="64"/>
      </left>
      <right/>
      <top/>
      <bottom style="thick">
        <color theme="2" tint="-0.499984740745262"/>
      </bottom>
      <diagonal/>
    </border>
    <border>
      <left/>
      <right style="thick">
        <color theme="2" tint="-0.499984740745262"/>
      </right>
      <top/>
      <bottom style="thick">
        <color theme="2" tint="-0.499984740745262"/>
      </bottom>
      <diagonal/>
    </border>
    <border>
      <left style="thin">
        <color indexed="64"/>
      </left>
      <right/>
      <top style="thin">
        <color indexed="64"/>
      </top>
      <bottom style="thick">
        <color theme="2" tint="-0.499984740745262"/>
      </bottom>
      <diagonal/>
    </border>
    <border>
      <left style="thick">
        <color theme="2" tint="-0.499984740745262"/>
      </left>
      <right/>
      <top style="thin">
        <color indexed="64"/>
      </top>
      <bottom style="thick">
        <color theme="2" tint="-0.499984740745262"/>
      </bottom>
      <diagonal/>
    </border>
    <border>
      <left/>
      <right/>
      <top style="thin">
        <color theme="2" tint="-0.499984740745262"/>
      </top>
      <bottom style="thin">
        <color theme="2" tint="-0.499984740745262"/>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ck">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ck">
        <color theme="2" tint="-0.499984740745262"/>
      </left>
      <right/>
      <top style="thick">
        <color theme="2" tint="-0.499984740745262"/>
      </top>
      <bottom style="thin">
        <color theme="2" tint="-0.499984740745262"/>
      </bottom>
      <diagonal/>
    </border>
    <border>
      <left/>
      <right/>
      <top style="thick">
        <color theme="2" tint="-0.499984740745262"/>
      </top>
      <bottom style="thin">
        <color theme="2" tint="-0.499984740745262"/>
      </bottom>
      <diagonal/>
    </border>
    <border>
      <left/>
      <right style="thick">
        <color theme="2" tint="-0.499984740745262"/>
      </right>
      <top style="thick">
        <color theme="2" tint="-0.499984740745262"/>
      </top>
      <bottom/>
      <diagonal/>
    </border>
    <border>
      <left style="double">
        <color theme="2" tint="-0.499984740745262"/>
      </left>
      <right/>
      <top/>
      <bottom style="thick">
        <color theme="2" tint="-0.499984740745262"/>
      </bottom>
      <diagonal/>
    </border>
    <border>
      <left/>
      <right style="thick">
        <color theme="2" tint="-0.499984740745262"/>
      </right>
      <top style="thin">
        <color theme="2" tint="-0.499984740745262"/>
      </top>
      <bottom style="dashed">
        <color theme="2" tint="-0.499984740745262"/>
      </bottom>
      <diagonal/>
    </border>
    <border>
      <left style="dashDotDot">
        <color theme="1" tint="0.34998626667073579"/>
      </left>
      <right/>
      <top/>
      <bottom/>
      <diagonal/>
    </border>
    <border>
      <left style="double">
        <color theme="2" tint="-0.499984740745262"/>
      </left>
      <right/>
      <top style="thick">
        <color theme="2" tint="-0.499984740745262"/>
      </top>
      <bottom style="dashed">
        <color theme="2" tint="-0.499984740745262"/>
      </bottom>
      <diagonal/>
    </border>
    <border>
      <left/>
      <right style="dashed">
        <color theme="2" tint="-0.499984740745262"/>
      </right>
      <top style="thick">
        <color theme="2" tint="-0.499984740745262"/>
      </top>
      <bottom style="dashed">
        <color theme="2" tint="-0.499984740745262"/>
      </bottom>
      <diagonal/>
    </border>
    <border>
      <left style="thin">
        <color theme="2" tint="-0.499984740745262"/>
      </left>
      <right/>
      <top style="dashed">
        <color theme="2" tint="-0.499984740745262"/>
      </top>
      <bottom style="thin">
        <color theme="2" tint="-0.499984740745262"/>
      </bottom>
      <diagonal/>
    </border>
    <border>
      <left/>
      <right style="thin">
        <color theme="2" tint="-0.499984740745262"/>
      </right>
      <top style="dashed">
        <color theme="2" tint="-0.499984740745262"/>
      </top>
      <bottom style="thin">
        <color theme="2" tint="-0.499984740745262"/>
      </bottom>
      <diagonal/>
    </border>
    <border>
      <left/>
      <right style="thin">
        <color theme="2" tint="-0.499984740745262"/>
      </right>
      <top style="thick">
        <color theme="2" tint="-0.499984740745262"/>
      </top>
      <bottom style="thin">
        <color theme="2" tint="-0.499984740745262"/>
      </bottom>
      <diagonal/>
    </border>
    <border>
      <left/>
      <right/>
      <top style="thin">
        <color theme="2" tint="-0.499984740745262"/>
      </top>
      <bottom style="thick">
        <color theme="2" tint="-0.499984740745262"/>
      </bottom>
      <diagonal/>
    </border>
    <border>
      <left style="thick">
        <color theme="2" tint="-0.499984740745262"/>
      </left>
      <right/>
      <top style="thin">
        <color theme="2" tint="-0.499984740745262"/>
      </top>
      <bottom style="thick">
        <color theme="2" tint="-0.499984740745262"/>
      </bottom>
      <diagonal/>
    </border>
    <border>
      <left/>
      <right/>
      <top style="thin">
        <color theme="2" tint="-0.499984740745262"/>
      </top>
      <bottom style="dashed">
        <color theme="2" tint="-0.499984740745262"/>
      </bottom>
      <diagonal/>
    </border>
    <border>
      <left/>
      <right style="thick">
        <color theme="2" tint="-0.499984740745262"/>
      </right>
      <top/>
      <bottom/>
      <diagonal/>
    </border>
    <border>
      <left style="thick">
        <color theme="2" tint="-0.499984740745262"/>
      </left>
      <right style="thin">
        <color theme="2" tint="-0.499984740745262"/>
      </right>
      <top style="thick">
        <color theme="2" tint="-0.499984740745262"/>
      </top>
      <bottom style="thick">
        <color theme="2" tint="-0.499984740745262"/>
      </bottom>
      <diagonal/>
    </border>
    <border>
      <left style="thin">
        <color theme="2" tint="-0.499984740745262"/>
      </left>
      <right style="thick">
        <color theme="2" tint="-0.499984740745262"/>
      </right>
      <top style="thick">
        <color theme="2" tint="-0.499984740745262"/>
      </top>
      <bottom style="thick">
        <color theme="2" tint="-0.499984740745262"/>
      </bottom>
      <diagonal/>
    </border>
  </borders>
  <cellStyleXfs count="3">
    <xf numFmtId="0" fontId="0" fillId="0" borderId="0"/>
    <xf numFmtId="0" fontId="64" fillId="0" borderId="0" applyNumberFormat="0" applyFill="0" applyBorder="0" applyAlignment="0" applyProtection="0">
      <alignment vertical="top"/>
      <protection locked="0"/>
    </xf>
    <xf numFmtId="43" fontId="101" fillId="0" borderId="0" applyFont="0" applyFill="0" applyBorder="0" applyAlignment="0" applyProtection="0"/>
  </cellStyleXfs>
  <cellXfs count="867">
    <xf numFmtId="0" fontId="0" fillId="0" borderId="0" xfId="0"/>
    <xf numFmtId="0" fontId="8" fillId="3" borderId="0" xfId="0" applyFont="1" applyFill="1"/>
    <xf numFmtId="0" fontId="8" fillId="3" borderId="0" xfId="0" applyFont="1" applyFill="1" applyBorder="1"/>
    <xf numFmtId="0" fontId="9" fillId="3" borderId="0" xfId="0" applyFont="1" applyFill="1"/>
    <xf numFmtId="0" fontId="8" fillId="3" borderId="0" xfId="0" applyFont="1" applyFill="1" applyAlignment="1">
      <alignment horizontal="center"/>
    </xf>
    <xf numFmtId="1" fontId="8" fillId="3" borderId="0" xfId="0" applyNumberFormat="1" applyFont="1" applyFill="1" applyAlignment="1">
      <alignment horizontal="center"/>
    </xf>
    <xf numFmtId="165" fontId="8" fillId="3" borderId="0" xfId="0" applyNumberFormat="1" applyFont="1" applyFill="1" applyAlignment="1">
      <alignment horizontal="center"/>
    </xf>
    <xf numFmtId="0" fontId="8" fillId="3" borderId="13" xfId="0" applyFont="1" applyFill="1" applyBorder="1" applyAlignment="1">
      <alignment horizontal="center" vertical="center"/>
    </xf>
    <xf numFmtId="0" fontId="8" fillId="3" borderId="13" xfId="0" applyFont="1" applyFill="1" applyBorder="1"/>
    <xf numFmtId="2" fontId="8" fillId="3" borderId="13" xfId="0" applyNumberFormat="1" applyFont="1" applyFill="1" applyBorder="1" applyAlignment="1">
      <alignment horizontal="center"/>
    </xf>
    <xf numFmtId="2" fontId="8" fillId="3" borderId="7" xfId="0" applyNumberFormat="1" applyFont="1" applyFill="1" applyBorder="1" applyAlignment="1">
      <alignment horizontal="center"/>
    </xf>
    <xf numFmtId="0" fontId="8" fillId="3" borderId="9" xfId="0" applyFont="1" applyFill="1" applyBorder="1" applyAlignment="1">
      <alignment horizontal="center" vertical="center"/>
    </xf>
    <xf numFmtId="2" fontId="8" fillId="3" borderId="13" xfId="0" applyNumberFormat="1" applyFont="1" applyFill="1" applyBorder="1" applyAlignment="1">
      <alignment horizontal="center" vertical="center"/>
    </xf>
    <xf numFmtId="2" fontId="8" fillId="3" borderId="7" xfId="0" applyNumberFormat="1" applyFont="1" applyFill="1" applyBorder="1" applyAlignment="1">
      <alignment horizontal="center" vertical="center"/>
    </xf>
    <xf numFmtId="0" fontId="8" fillId="3" borderId="0" xfId="0" applyFont="1" applyFill="1" applyBorder="1" applyAlignment="1">
      <alignment horizontal="center" vertical="center"/>
    </xf>
    <xf numFmtId="0" fontId="18" fillId="3" borderId="0" xfId="0" applyNumberFormat="1" applyFont="1" applyFill="1" applyBorder="1" applyAlignment="1" applyProtection="1">
      <alignment horizontal="center" vertical="top"/>
    </xf>
    <xf numFmtId="0" fontId="11" fillId="3" borderId="0" xfId="0" applyNumberFormat="1" applyFont="1" applyFill="1" applyBorder="1" applyAlignment="1" applyProtection="1">
      <alignment vertical="top"/>
    </xf>
    <xf numFmtId="0" fontId="11" fillId="3" borderId="14" xfId="0" applyNumberFormat="1" applyFont="1" applyFill="1" applyBorder="1" applyAlignment="1" applyProtection="1">
      <alignment horizontal="left" vertical="top" indent="3"/>
    </xf>
    <xf numFmtId="0" fontId="11" fillId="3" borderId="13" xfId="0" applyNumberFormat="1" applyFont="1" applyFill="1" applyBorder="1" applyAlignment="1" applyProtection="1">
      <alignment horizontal="center" vertical="top"/>
    </xf>
    <xf numFmtId="2" fontId="11" fillId="3" borderId="13" xfId="0" applyNumberFormat="1" applyFont="1" applyFill="1" applyBorder="1" applyAlignment="1" applyProtection="1">
      <alignment horizontal="center" vertical="top"/>
    </xf>
    <xf numFmtId="0" fontId="11" fillId="3" borderId="2" xfId="0" applyNumberFormat="1" applyFont="1" applyFill="1" applyBorder="1" applyAlignment="1" applyProtection="1">
      <alignment horizontal="left" vertical="top" indent="3"/>
    </xf>
    <xf numFmtId="0" fontId="11" fillId="3" borderId="15" xfId="0" applyNumberFormat="1" applyFont="1" applyFill="1" applyBorder="1" applyAlignment="1" applyProtection="1">
      <alignment horizontal="left" vertical="top" indent="3"/>
    </xf>
    <xf numFmtId="2" fontId="11" fillId="3" borderId="13" xfId="0" applyNumberFormat="1" applyFont="1" applyFill="1" applyBorder="1" applyAlignment="1" applyProtection="1">
      <alignment horizontal="left" vertical="top" indent="2"/>
    </xf>
    <xf numFmtId="0" fontId="16" fillId="3" borderId="0" xfId="0" applyNumberFormat="1" applyFont="1" applyFill="1" applyBorder="1" applyAlignment="1" applyProtection="1">
      <alignment horizontal="left" vertical="top"/>
    </xf>
    <xf numFmtId="0" fontId="18" fillId="3" borderId="13" xfId="0" applyNumberFormat="1" applyFont="1" applyFill="1" applyBorder="1" applyAlignment="1" applyProtection="1">
      <alignment horizontal="center" vertical="top"/>
    </xf>
    <xf numFmtId="0" fontId="11" fillId="3" borderId="14" xfId="0" applyNumberFormat="1" applyFont="1" applyFill="1" applyBorder="1" applyAlignment="1" applyProtection="1">
      <alignment horizontal="center" vertical="top"/>
    </xf>
    <xf numFmtId="0" fontId="11" fillId="3" borderId="15" xfId="0" applyNumberFormat="1" applyFont="1" applyFill="1" applyBorder="1" applyAlignment="1" applyProtection="1">
      <alignment horizontal="center" vertical="top"/>
    </xf>
    <xf numFmtId="1" fontId="8" fillId="3" borderId="13" xfId="0" applyNumberFormat="1" applyFont="1" applyFill="1" applyBorder="1" applyAlignment="1">
      <alignment horizontal="center" vertical="center"/>
    </xf>
    <xf numFmtId="2" fontId="8" fillId="3" borderId="0" xfId="0" applyNumberFormat="1" applyFont="1" applyFill="1" applyBorder="1" applyAlignment="1">
      <alignment horizontal="center" vertical="center"/>
    </xf>
    <xf numFmtId="1" fontId="8" fillId="3" borderId="9" xfId="0" applyNumberFormat="1" applyFont="1" applyFill="1" applyBorder="1" applyAlignment="1">
      <alignment horizontal="center" vertical="center"/>
    </xf>
    <xf numFmtId="2" fontId="44" fillId="2" borderId="0" xfId="0" applyNumberFormat="1" applyFont="1" applyFill="1" applyAlignment="1" applyProtection="1"/>
    <xf numFmtId="2" fontId="1" fillId="2" borderId="0" xfId="0" applyNumberFormat="1" applyFont="1" applyFill="1" applyAlignment="1" applyProtection="1"/>
    <xf numFmtId="2" fontId="0" fillId="2" borderId="0" xfId="0" applyNumberFormat="1" applyFill="1" applyProtection="1"/>
    <xf numFmtId="2" fontId="43" fillId="2" borderId="0" xfId="0" applyNumberFormat="1" applyFont="1" applyFill="1" applyAlignment="1" applyProtection="1">
      <alignment vertical="top"/>
    </xf>
    <xf numFmtId="2" fontId="0" fillId="2" borderId="0" xfId="0" applyNumberFormat="1" applyFill="1" applyBorder="1" applyProtection="1"/>
    <xf numFmtId="2" fontId="0" fillId="2" borderId="27" xfId="0" applyNumberFormat="1" applyFill="1" applyBorder="1" applyAlignment="1" applyProtection="1"/>
    <xf numFmtId="2" fontId="0" fillId="2" borderId="27" xfId="0" applyNumberFormat="1" applyFill="1" applyBorder="1" applyProtection="1"/>
    <xf numFmtId="2" fontId="0" fillId="2" borderId="1" xfId="0" applyNumberFormat="1" applyFill="1" applyBorder="1" applyAlignment="1" applyProtection="1">
      <alignment horizontal="center"/>
    </xf>
    <xf numFmtId="2" fontId="4" fillId="2" borderId="1" xfId="0" applyNumberFormat="1" applyFont="1" applyFill="1" applyBorder="1" applyAlignment="1" applyProtection="1">
      <alignment horizontal="center"/>
    </xf>
    <xf numFmtId="2" fontId="5" fillId="2" borderId="15" xfId="0" applyNumberFormat="1" applyFont="1" applyFill="1" applyBorder="1" applyAlignment="1" applyProtection="1">
      <alignment horizontal="center"/>
    </xf>
    <xf numFmtId="2" fontId="12" fillId="2" borderId="15" xfId="0" applyNumberFormat="1" applyFont="1" applyFill="1" applyBorder="1" applyAlignment="1" applyProtection="1">
      <alignment horizontal="center"/>
    </xf>
    <xf numFmtId="2" fontId="12" fillId="2" borderId="2" xfId="0" applyNumberFormat="1" applyFont="1" applyFill="1" applyBorder="1" applyAlignment="1" applyProtection="1">
      <alignment horizontal="center"/>
    </xf>
    <xf numFmtId="2" fontId="3" fillId="2" borderId="5" xfId="0" applyNumberFormat="1" applyFont="1" applyFill="1" applyBorder="1" applyAlignment="1" applyProtection="1">
      <alignment horizontal="center"/>
    </xf>
    <xf numFmtId="2" fontId="3" fillId="2" borderId="1" xfId="0" applyNumberFormat="1" applyFont="1" applyFill="1" applyBorder="1" applyProtection="1"/>
    <xf numFmtId="2" fontId="4" fillId="2" borderId="2" xfId="0" applyNumberFormat="1" applyFont="1" applyFill="1" applyBorder="1" applyAlignment="1" applyProtection="1">
      <alignment horizontal="center"/>
    </xf>
    <xf numFmtId="2" fontId="2" fillId="2" borderId="0" xfId="0" applyNumberFormat="1" applyFont="1" applyFill="1" applyAlignment="1" applyProtection="1">
      <alignment horizontal="left"/>
    </xf>
    <xf numFmtId="2" fontId="0" fillId="2" borderId="0" xfId="0" applyNumberFormat="1" applyFill="1" applyAlignment="1" applyProtection="1">
      <alignment horizontal="center"/>
    </xf>
    <xf numFmtId="2" fontId="4" fillId="2" borderId="0" xfId="0" applyNumberFormat="1" applyFont="1" applyFill="1" applyAlignment="1" applyProtection="1">
      <alignment horizontal="center"/>
    </xf>
    <xf numFmtId="2" fontId="5" fillId="2" borderId="0" xfId="0" applyNumberFormat="1" applyFont="1" applyFill="1" applyBorder="1" applyAlignment="1" applyProtection="1">
      <alignment horizontal="center"/>
    </xf>
    <xf numFmtId="1" fontId="5" fillId="2" borderId="0" xfId="0" applyNumberFormat="1" applyFont="1" applyFill="1" applyBorder="1" applyAlignment="1" applyProtection="1">
      <alignment horizontal="center"/>
    </xf>
    <xf numFmtId="165" fontId="13" fillId="2" borderId="0" xfId="0" applyNumberFormat="1" applyFont="1" applyFill="1" applyBorder="1" applyAlignment="1" applyProtection="1">
      <alignment horizontal="center"/>
    </xf>
    <xf numFmtId="2" fontId="3" fillId="2" borderId="0" xfId="0" applyNumberFormat="1" applyFont="1" applyFill="1" applyBorder="1" applyAlignment="1" applyProtection="1">
      <alignment horizontal="center"/>
    </xf>
    <xf numFmtId="2" fontId="3" fillId="2" borderId="0" xfId="0" applyNumberFormat="1" applyFont="1" applyFill="1" applyBorder="1" applyProtection="1"/>
    <xf numFmtId="2" fontId="0" fillId="2" borderId="0" xfId="0" applyNumberFormat="1" applyFill="1" applyBorder="1" applyAlignment="1" applyProtection="1">
      <alignment horizontal="center"/>
    </xf>
    <xf numFmtId="2" fontId="4" fillId="2" borderId="0" xfId="0" applyNumberFormat="1" applyFont="1" applyFill="1" applyBorder="1" applyAlignment="1" applyProtection="1">
      <alignment horizontal="center"/>
    </xf>
    <xf numFmtId="1" fontId="0" fillId="2" borderId="0" xfId="0" applyNumberFormat="1" applyFill="1" applyBorder="1" applyAlignment="1" applyProtection="1">
      <alignment horizontal="center"/>
    </xf>
    <xf numFmtId="1" fontId="2" fillId="2" borderId="0" xfId="0" applyNumberFormat="1" applyFont="1" applyFill="1" applyAlignment="1" applyProtection="1">
      <alignment horizontal="left"/>
    </xf>
    <xf numFmtId="1" fontId="38" fillId="2" borderId="0" xfId="0" applyNumberFormat="1" applyFont="1" applyFill="1" applyBorder="1" applyAlignment="1" applyProtection="1">
      <alignment horizontal="center"/>
    </xf>
    <xf numFmtId="3" fontId="39" fillId="2" borderId="0" xfId="0" applyNumberFormat="1" applyFont="1" applyFill="1" applyBorder="1" applyAlignment="1" applyProtection="1">
      <alignment horizontal="center"/>
    </xf>
    <xf numFmtId="2" fontId="38" fillId="2" borderId="0" xfId="0" applyNumberFormat="1" applyFont="1" applyFill="1" applyBorder="1" applyAlignment="1" applyProtection="1">
      <alignment horizontal="left"/>
    </xf>
    <xf numFmtId="2" fontId="14" fillId="2" borderId="0" xfId="0" applyNumberFormat="1" applyFont="1" applyFill="1" applyAlignment="1" applyProtection="1"/>
    <xf numFmtId="2" fontId="14" fillId="2" borderId="0" xfId="0" applyNumberFormat="1" applyFont="1" applyFill="1" applyBorder="1" applyAlignment="1" applyProtection="1"/>
    <xf numFmtId="2" fontId="5" fillId="2" borderId="14" xfId="0" applyNumberFormat="1" applyFont="1" applyFill="1" applyBorder="1" applyAlignment="1" applyProtection="1">
      <alignment horizontal="center"/>
    </xf>
    <xf numFmtId="2" fontId="28" fillId="2" borderId="11" xfId="0" applyNumberFormat="1" applyFont="1" applyFill="1" applyBorder="1" applyAlignment="1" applyProtection="1">
      <alignment horizontal="center"/>
    </xf>
    <xf numFmtId="1" fontId="28" fillId="2" borderId="10" xfId="0" applyNumberFormat="1" applyFont="1" applyFill="1" applyBorder="1" applyAlignment="1" applyProtection="1">
      <alignment horizontal="center" vertical="center"/>
    </xf>
    <xf numFmtId="1" fontId="28" fillId="2" borderId="12" xfId="0" applyNumberFormat="1" applyFont="1" applyFill="1" applyBorder="1" applyAlignment="1" applyProtection="1">
      <alignment horizontal="center" vertical="center"/>
    </xf>
    <xf numFmtId="1" fontId="22" fillId="2" borderId="14" xfId="0" applyNumberFormat="1" applyFont="1" applyFill="1" applyBorder="1" applyAlignment="1" applyProtection="1">
      <alignment horizontal="center" vertical="center"/>
    </xf>
    <xf numFmtId="1" fontId="5" fillId="2" borderId="15" xfId="0" applyNumberFormat="1" applyFont="1" applyFill="1" applyBorder="1" applyAlignment="1" applyProtection="1">
      <alignment horizontal="center"/>
    </xf>
    <xf numFmtId="2" fontId="28" fillId="2" borderId="3" xfId="0" applyNumberFormat="1" applyFont="1" applyFill="1" applyBorder="1" applyAlignment="1" applyProtection="1">
      <alignment horizontal="center"/>
    </xf>
    <xf numFmtId="1" fontId="28" fillId="2" borderId="5" xfId="0" applyNumberFormat="1" applyFont="1" applyFill="1" applyBorder="1" applyAlignment="1" applyProtection="1">
      <alignment horizontal="center" vertical="center"/>
    </xf>
    <xf numFmtId="1" fontId="28" fillId="2" borderId="1" xfId="0" applyNumberFormat="1" applyFont="1" applyFill="1" applyBorder="1" applyAlignment="1" applyProtection="1">
      <alignment horizontal="center" vertical="center"/>
    </xf>
    <xf numFmtId="1" fontId="22" fillId="2" borderId="15" xfId="0" applyNumberFormat="1" applyFont="1" applyFill="1" applyBorder="1" applyAlignment="1" applyProtection="1">
      <alignment horizontal="center" vertical="center"/>
    </xf>
    <xf numFmtId="2" fontId="0" fillId="2" borderId="3" xfId="0" applyNumberFormat="1" applyFill="1" applyBorder="1" applyAlignment="1" applyProtection="1">
      <alignment horizontal="right"/>
    </xf>
    <xf numFmtId="2" fontId="24" fillId="2" borderId="3" xfId="0" applyNumberFormat="1" applyFont="1" applyFill="1" applyBorder="1" applyAlignment="1" applyProtection="1">
      <alignment horizontal="center"/>
    </xf>
    <xf numFmtId="166" fontId="22" fillId="2" borderId="6" xfId="0" applyNumberFormat="1" applyFont="1" applyFill="1" applyBorder="1" applyAlignment="1" applyProtection="1">
      <alignment horizontal="center" vertical="center"/>
    </xf>
    <xf numFmtId="1" fontId="0" fillId="2" borderId="3" xfId="0" applyNumberFormat="1" applyFill="1" applyBorder="1" applyAlignment="1" applyProtection="1">
      <alignment horizontal="right"/>
    </xf>
    <xf numFmtId="166" fontId="24" fillId="2" borderId="3" xfId="0" applyNumberFormat="1" applyFont="1" applyFill="1" applyBorder="1" applyAlignment="1" applyProtection="1">
      <alignment horizontal="center"/>
    </xf>
    <xf numFmtId="2" fontId="28" fillId="2" borderId="2" xfId="0" applyNumberFormat="1" applyFont="1" applyFill="1" applyBorder="1" applyProtection="1"/>
    <xf numFmtId="166" fontId="23" fillId="2" borderId="9" xfId="0" applyNumberFormat="1" applyFont="1" applyFill="1" applyBorder="1" applyAlignment="1" applyProtection="1">
      <alignment horizontal="center"/>
    </xf>
    <xf numFmtId="166" fontId="5" fillId="2" borderId="9" xfId="0" applyNumberFormat="1" applyFont="1" applyFill="1" applyBorder="1" applyAlignment="1" applyProtection="1">
      <alignment horizontal="center"/>
    </xf>
    <xf numFmtId="166" fontId="5" fillId="2" borderId="9" xfId="0" applyNumberFormat="1" applyFont="1" applyFill="1" applyBorder="1" applyProtection="1"/>
    <xf numFmtId="2" fontId="27" fillId="2" borderId="7" xfId="0" applyNumberFormat="1" applyFont="1" applyFill="1" applyBorder="1" applyAlignment="1" applyProtection="1">
      <alignment horizontal="center" vertical="center"/>
    </xf>
    <xf numFmtId="166" fontId="27" fillId="2" borderId="8" xfId="0" applyNumberFormat="1" applyFont="1" applyFill="1" applyBorder="1" applyAlignment="1" applyProtection="1">
      <alignment horizontal="center" vertical="center"/>
    </xf>
    <xf numFmtId="2" fontId="27" fillId="2" borderId="8" xfId="0" applyNumberFormat="1" applyFont="1" applyFill="1" applyBorder="1" applyAlignment="1" applyProtection="1">
      <alignment horizontal="center" vertical="center"/>
    </xf>
    <xf numFmtId="166" fontId="27" fillId="2" borderId="9" xfId="0" applyNumberFormat="1" applyFont="1" applyFill="1" applyBorder="1" applyAlignment="1" applyProtection="1">
      <alignment horizontal="center" vertical="center"/>
    </xf>
    <xf numFmtId="2" fontId="0" fillId="2" borderId="12" xfId="0" applyNumberFormat="1" applyFill="1" applyBorder="1" applyAlignment="1" applyProtection="1">
      <alignment horizontal="left"/>
    </xf>
    <xf numFmtId="2" fontId="0" fillId="2" borderId="7" xfId="0" applyNumberFormat="1" applyFill="1" applyBorder="1" applyProtection="1"/>
    <xf numFmtId="2" fontId="2" fillId="2" borderId="13" xfId="0" applyNumberFormat="1" applyFont="1" applyFill="1" applyBorder="1" applyProtection="1"/>
    <xf numFmtId="1" fontId="2" fillId="2" borderId="10" xfId="0" applyNumberFormat="1" applyFont="1" applyFill="1" applyBorder="1" applyAlignment="1" applyProtection="1">
      <alignment horizontal="left"/>
    </xf>
    <xf numFmtId="1" fontId="2" fillId="2" borderId="4" xfId="0" applyNumberFormat="1" applyFont="1" applyFill="1" applyBorder="1" applyAlignment="1" applyProtection="1">
      <alignment horizontal="left"/>
    </xf>
    <xf numFmtId="2" fontId="5" fillId="2" borderId="6" xfId="0" applyNumberFormat="1" applyFont="1" applyFill="1" applyBorder="1" applyAlignment="1" applyProtection="1">
      <alignment horizontal="center"/>
    </xf>
    <xf numFmtId="1" fontId="2" fillId="2" borderId="5" xfId="0" applyNumberFormat="1" applyFont="1" applyFill="1" applyBorder="1" applyAlignment="1" applyProtection="1">
      <alignment horizontal="left"/>
    </xf>
    <xf numFmtId="2" fontId="0" fillId="2" borderId="9" xfId="0" applyNumberFormat="1" applyFont="1" applyFill="1" applyBorder="1" applyAlignment="1" applyProtection="1">
      <alignment horizontal="center"/>
    </xf>
    <xf numFmtId="2" fontId="2" fillId="2" borderId="7" xfId="0" applyNumberFormat="1" applyFont="1" applyFill="1" applyBorder="1" applyProtection="1"/>
    <xf numFmtId="2" fontId="2" fillId="2" borderId="8" xfId="0" applyNumberFormat="1" applyFont="1" applyFill="1" applyBorder="1" applyAlignment="1" applyProtection="1">
      <alignment horizontal="center"/>
    </xf>
    <xf numFmtId="2" fontId="2" fillId="2" borderId="7" xfId="0" applyNumberFormat="1" applyFont="1" applyFill="1" applyBorder="1" applyAlignment="1" applyProtection="1">
      <alignment horizontal="center"/>
    </xf>
    <xf numFmtId="2" fontId="48" fillId="2" borderId="0" xfId="0" applyNumberFormat="1" applyFont="1" applyFill="1" applyBorder="1" applyAlignment="1" applyProtection="1">
      <alignment horizontal="center"/>
    </xf>
    <xf numFmtId="166" fontId="48" fillId="2" borderId="0" xfId="0" applyNumberFormat="1" applyFont="1" applyFill="1" applyBorder="1" applyAlignment="1" applyProtection="1">
      <alignment horizontal="center"/>
    </xf>
    <xf numFmtId="1" fontId="2" fillId="2" borderId="0" xfId="0" applyNumberFormat="1" applyFont="1" applyFill="1" applyBorder="1" applyAlignment="1" applyProtection="1"/>
    <xf numFmtId="166" fontId="48" fillId="2" borderId="0" xfId="0" applyNumberFormat="1" applyFont="1" applyFill="1" applyBorder="1" applyAlignment="1" applyProtection="1">
      <alignment horizontal="center" vertical="top"/>
    </xf>
    <xf numFmtId="2" fontId="50" fillId="2" borderId="0" xfId="0" applyNumberFormat="1" applyFont="1" applyFill="1" applyAlignment="1" applyProtection="1">
      <alignment horizontal="center"/>
    </xf>
    <xf numFmtId="2" fontId="8" fillId="2" borderId="7" xfId="0" applyNumberFormat="1" applyFont="1" applyFill="1" applyBorder="1" applyProtection="1"/>
    <xf numFmtId="2" fontId="8" fillId="2" borderId="11" xfId="0" applyNumberFormat="1" applyFont="1" applyFill="1" applyBorder="1" applyAlignment="1" applyProtection="1">
      <alignment horizontal="center"/>
    </xf>
    <xf numFmtId="2" fontId="50" fillId="2" borderId="0" xfId="0" applyNumberFormat="1" applyFont="1" applyFill="1" applyAlignment="1" applyProtection="1">
      <alignment horizontal="right" vertical="top"/>
    </xf>
    <xf numFmtId="2" fontId="50" fillId="2" borderId="0" xfId="0" applyNumberFormat="1" applyFont="1" applyFill="1" applyAlignment="1" applyProtection="1">
      <alignment horizontal="center" vertical="top"/>
    </xf>
    <xf numFmtId="2" fontId="12" fillId="2" borderId="14"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2" fontId="12" fillId="2" borderId="7" xfId="0" applyNumberFormat="1" applyFont="1" applyFill="1" applyBorder="1" applyAlignment="1" applyProtection="1">
      <alignment horizontal="center"/>
    </xf>
    <xf numFmtId="2" fontId="12" fillId="2" borderId="8" xfId="0" applyNumberFormat="1" applyFont="1" applyFill="1" applyBorder="1" applyAlignment="1" applyProtection="1">
      <alignment horizontal="center"/>
    </xf>
    <xf numFmtId="2" fontId="8" fillId="2" borderId="9" xfId="0" applyNumberFormat="1" applyFont="1" applyFill="1" applyBorder="1" applyAlignment="1" applyProtection="1">
      <alignment horizontal="center"/>
    </xf>
    <xf numFmtId="2" fontId="65" fillId="2" borderId="13" xfId="0" applyNumberFormat="1" applyFont="1" applyFill="1" applyBorder="1" applyAlignment="1" applyProtection="1">
      <alignment horizontal="center"/>
    </xf>
    <xf numFmtId="2" fontId="2" fillId="2" borderId="13" xfId="0" applyNumberFormat="1" applyFont="1" applyFill="1" applyBorder="1" applyAlignment="1" applyProtection="1">
      <alignment horizontal="center"/>
    </xf>
    <xf numFmtId="2" fontId="2" fillId="2" borderId="1" xfId="0" applyNumberFormat="1" applyFont="1" applyFill="1" applyBorder="1" applyAlignment="1" applyProtection="1">
      <alignment horizontal="center"/>
    </xf>
    <xf numFmtId="2" fontId="22" fillId="2" borderId="6" xfId="0" applyNumberFormat="1" applyFont="1" applyFill="1" applyBorder="1" applyAlignment="1" applyProtection="1">
      <alignment horizontal="center"/>
    </xf>
    <xf numFmtId="2" fontId="22" fillId="2" borderId="15" xfId="0" applyNumberFormat="1" applyFont="1" applyFill="1" applyBorder="1" applyAlignment="1" applyProtection="1">
      <alignment horizontal="center"/>
    </xf>
    <xf numFmtId="2" fontId="0" fillId="2" borderId="12" xfId="0" applyNumberFormat="1" applyFill="1" applyBorder="1" applyProtection="1"/>
    <xf numFmtId="2" fontId="2" fillId="2" borderId="0" xfId="0" applyNumberFormat="1" applyFont="1" applyFill="1" applyAlignment="1" applyProtection="1"/>
    <xf numFmtId="2" fontId="2" fillId="2" borderId="9" xfId="0" applyNumberFormat="1" applyFont="1" applyFill="1" applyBorder="1" applyAlignment="1" applyProtection="1">
      <alignment horizontal="center" vertical="top"/>
    </xf>
    <xf numFmtId="1" fontId="22" fillId="2" borderId="14" xfId="0" applyNumberFormat="1" applyFont="1" applyFill="1" applyBorder="1" applyAlignment="1" applyProtection="1">
      <alignment horizontal="center"/>
    </xf>
    <xf numFmtId="1" fontId="22" fillId="2" borderId="6" xfId="0" applyNumberFormat="1" applyFont="1" applyFill="1" applyBorder="1" applyAlignment="1" applyProtection="1">
      <alignment horizontal="center"/>
    </xf>
    <xf numFmtId="2" fontId="0" fillId="2" borderId="28" xfId="0" applyNumberFormat="1" applyFill="1" applyBorder="1" applyProtection="1"/>
    <xf numFmtId="0" fontId="2" fillId="2" borderId="0" xfId="0" applyFont="1" applyFill="1" applyProtection="1"/>
    <xf numFmtId="2" fontId="30" fillId="2" borderId="0" xfId="0" applyNumberFormat="1" applyFont="1" applyFill="1" applyAlignment="1" applyProtection="1">
      <alignment horizontal="center" vertical="top"/>
    </xf>
    <xf numFmtId="0" fontId="86" fillId="5" borderId="0" xfId="0" applyFont="1" applyFill="1" applyAlignment="1" applyProtection="1">
      <alignment vertical="center"/>
    </xf>
    <xf numFmtId="2" fontId="70" fillId="2" borderId="0" xfId="0" applyNumberFormat="1" applyFont="1" applyFill="1" applyAlignment="1" applyProtection="1">
      <alignment horizontal="center"/>
    </xf>
    <xf numFmtId="2" fontId="13" fillId="2" borderId="0" xfId="0" applyNumberFormat="1" applyFont="1" applyFill="1" applyProtection="1"/>
    <xf numFmtId="2" fontId="0" fillId="0" borderId="0" xfId="0" applyNumberFormat="1" applyFill="1" applyAlignment="1" applyProtection="1">
      <alignment horizontal="center"/>
    </xf>
    <xf numFmtId="2" fontId="0" fillId="0" borderId="0" xfId="0" applyNumberFormat="1" applyFill="1" applyBorder="1" applyAlignment="1" applyProtection="1">
      <alignment horizontal="center"/>
    </xf>
    <xf numFmtId="2" fontId="2" fillId="0" borderId="0" xfId="0" applyNumberFormat="1" applyFont="1" applyFill="1" applyAlignment="1" applyProtection="1">
      <alignment horizontal="left"/>
    </xf>
    <xf numFmtId="1" fontId="5" fillId="0" borderId="6" xfId="0" applyNumberFormat="1" applyFont="1" applyFill="1" applyBorder="1" applyAlignment="1" applyProtection="1">
      <alignment horizontal="center"/>
    </xf>
    <xf numFmtId="2" fontId="0" fillId="2" borderId="3" xfId="0" applyNumberFormat="1" applyFill="1" applyBorder="1" applyAlignment="1" applyProtection="1">
      <alignment horizontal="center"/>
    </xf>
    <xf numFmtId="2" fontId="0" fillId="0" borderId="4" xfId="0" applyNumberFormat="1" applyFill="1" applyBorder="1" applyAlignment="1" applyProtection="1">
      <alignment horizontal="center"/>
    </xf>
    <xf numFmtId="2" fontId="0" fillId="0" borderId="3" xfId="0" applyNumberFormat="1" applyFill="1" applyBorder="1" applyAlignment="1" applyProtection="1">
      <alignment horizontal="center"/>
    </xf>
    <xf numFmtId="2" fontId="3" fillId="0" borderId="4" xfId="0" applyNumberFormat="1" applyFont="1" applyFill="1" applyBorder="1" applyAlignment="1" applyProtection="1">
      <alignment horizontal="center"/>
    </xf>
    <xf numFmtId="2" fontId="4" fillId="2" borderId="3" xfId="0" applyNumberFormat="1" applyFont="1" applyFill="1" applyBorder="1" applyAlignment="1" applyProtection="1">
      <alignment horizontal="center"/>
    </xf>
    <xf numFmtId="2" fontId="35" fillId="0" borderId="9" xfId="0" applyNumberFormat="1" applyFont="1" applyFill="1" applyBorder="1" applyAlignment="1" applyProtection="1">
      <alignment horizontal="left"/>
    </xf>
    <xf numFmtId="1" fontId="5" fillId="0" borderId="9" xfId="0" applyNumberFormat="1" applyFont="1" applyFill="1" applyBorder="1" applyAlignment="1" applyProtection="1">
      <alignment horizontal="center"/>
    </xf>
    <xf numFmtId="1" fontId="0" fillId="0" borderId="3" xfId="0" applyNumberFormat="1" applyFill="1" applyBorder="1" applyAlignment="1" applyProtection="1">
      <alignment horizontal="right"/>
    </xf>
    <xf numFmtId="1" fontId="0" fillId="0" borderId="2" xfId="0" applyNumberFormat="1" applyFill="1" applyBorder="1" applyAlignment="1" applyProtection="1">
      <alignment horizontal="center"/>
    </xf>
    <xf numFmtId="1" fontId="28" fillId="0" borderId="4" xfId="0" applyNumberFormat="1" applyFont="1" applyFill="1" applyBorder="1" applyAlignment="1" applyProtection="1">
      <alignment horizontal="center" vertical="center"/>
    </xf>
    <xf numFmtId="1" fontId="28" fillId="0" borderId="0" xfId="0" applyNumberFormat="1" applyFont="1" applyFill="1" applyBorder="1" applyAlignment="1" applyProtection="1">
      <alignment horizontal="center" vertical="center"/>
    </xf>
    <xf numFmtId="2" fontId="28" fillId="0" borderId="4" xfId="0" applyNumberFormat="1" applyFont="1" applyFill="1" applyBorder="1" applyAlignment="1" applyProtection="1">
      <alignment vertical="center"/>
    </xf>
    <xf numFmtId="2" fontId="28" fillId="0" borderId="0" xfId="0" applyNumberFormat="1" applyFont="1" applyFill="1" applyBorder="1" applyAlignment="1" applyProtection="1">
      <alignment vertical="center"/>
    </xf>
    <xf numFmtId="2" fontId="2" fillId="0" borderId="11" xfId="0" applyNumberFormat="1" applyFont="1" applyFill="1" applyBorder="1" applyAlignment="1" applyProtection="1">
      <alignment horizontal="left"/>
    </xf>
    <xf numFmtId="2" fontId="2" fillId="0" borderId="3" xfId="0" applyNumberFormat="1" applyFont="1" applyFill="1" applyBorder="1" applyAlignment="1" applyProtection="1">
      <alignment horizontal="left"/>
    </xf>
    <xf numFmtId="2" fontId="2" fillId="0" borderId="2" xfId="0" applyNumberFormat="1" applyFont="1" applyFill="1" applyBorder="1" applyAlignment="1" applyProtection="1">
      <alignment horizontal="left"/>
    </xf>
    <xf numFmtId="2" fontId="2" fillId="0" borderId="12" xfId="0" applyNumberFormat="1" applyFont="1" applyFill="1" applyBorder="1" applyAlignment="1" applyProtection="1">
      <alignment horizontal="left"/>
    </xf>
    <xf numFmtId="2" fontId="0" fillId="0" borderId="12" xfId="0" applyNumberFormat="1" applyFill="1" applyBorder="1" applyAlignment="1" applyProtection="1">
      <alignment horizontal="center"/>
    </xf>
    <xf numFmtId="2" fontId="0" fillId="0" borderId="10" xfId="0" applyNumberFormat="1" applyFill="1" applyBorder="1" applyAlignment="1" applyProtection="1">
      <alignment horizontal="center"/>
    </xf>
    <xf numFmtId="2" fontId="0" fillId="0" borderId="11" xfId="0" applyNumberFormat="1" applyFill="1" applyBorder="1" applyAlignment="1" applyProtection="1">
      <alignment horizontal="center"/>
    </xf>
    <xf numFmtId="2" fontId="2" fillId="0" borderId="1" xfId="0" applyNumberFormat="1" applyFont="1" applyFill="1" applyBorder="1" applyAlignment="1" applyProtection="1">
      <alignment horizontal="left"/>
    </xf>
    <xf numFmtId="2" fontId="0" fillId="0" borderId="1" xfId="0" applyNumberFormat="1" applyFill="1" applyBorder="1" applyAlignment="1" applyProtection="1">
      <alignment horizontal="center"/>
    </xf>
    <xf numFmtId="2" fontId="0" fillId="0" borderId="5" xfId="0" applyNumberFormat="1" applyFill="1" applyBorder="1" applyAlignment="1" applyProtection="1">
      <alignment horizontal="center"/>
    </xf>
    <xf numFmtId="2" fontId="0" fillId="0" borderId="2" xfId="0" applyNumberFormat="1" applyFill="1" applyBorder="1" applyAlignment="1" applyProtection="1">
      <alignment horizontal="center"/>
    </xf>
    <xf numFmtId="2" fontId="8" fillId="0" borderId="11" xfId="0" applyNumberFormat="1" applyFont="1" applyFill="1" applyBorder="1" applyProtection="1"/>
    <xf numFmtId="1" fontId="0" fillId="0" borderId="12" xfId="0" applyNumberFormat="1" applyFill="1" applyBorder="1" applyAlignment="1" applyProtection="1">
      <alignment horizontal="center"/>
    </xf>
    <xf numFmtId="2" fontId="8" fillId="0" borderId="2" xfId="0" applyNumberFormat="1" applyFont="1" applyFill="1" applyBorder="1" applyProtection="1"/>
    <xf numFmtId="1" fontId="0" fillId="0" borderId="1" xfId="0" applyNumberFormat="1" applyFill="1" applyBorder="1" applyAlignment="1" applyProtection="1">
      <alignment horizontal="center"/>
    </xf>
    <xf numFmtId="2" fontId="2" fillId="0" borderId="9" xfId="0" applyNumberFormat="1" applyFont="1" applyFill="1" applyBorder="1" applyAlignment="1" applyProtection="1">
      <alignment horizontal="center"/>
    </xf>
    <xf numFmtId="2" fontId="2" fillId="0" borderId="8" xfId="0" applyNumberFormat="1" applyFont="1" applyFill="1" applyBorder="1" applyAlignment="1" applyProtection="1">
      <alignment horizontal="center"/>
    </xf>
    <xf numFmtId="2" fontId="2" fillId="0" borderId="15" xfId="0" applyNumberFormat="1" applyFont="1" applyFill="1" applyBorder="1" applyAlignment="1" applyProtection="1">
      <alignment horizontal="center"/>
    </xf>
    <xf numFmtId="1" fontId="8" fillId="0" borderId="4" xfId="0" applyNumberFormat="1" applyFont="1" applyFill="1" applyBorder="1" applyAlignment="1" applyProtection="1">
      <alignment horizontal="center"/>
    </xf>
    <xf numFmtId="2" fontId="0" fillId="0" borderId="14" xfId="0" applyNumberFormat="1" applyFill="1" applyBorder="1" applyAlignment="1" applyProtection="1">
      <alignment horizontal="center"/>
    </xf>
    <xf numFmtId="1" fontId="8" fillId="0" borderId="5" xfId="0" applyNumberFormat="1" applyFont="1" applyFill="1" applyBorder="1" applyAlignment="1" applyProtection="1">
      <alignment horizontal="center"/>
    </xf>
    <xf numFmtId="2" fontId="0" fillId="0" borderId="15" xfId="0" applyNumberFormat="1" applyFill="1" applyBorder="1" applyAlignment="1" applyProtection="1">
      <alignment horizontal="center"/>
    </xf>
    <xf numFmtId="165" fontId="8" fillId="0" borderId="6" xfId="0" applyNumberFormat="1" applyFont="1" applyFill="1" applyBorder="1" applyAlignment="1" applyProtection="1">
      <alignment horizontal="center"/>
    </xf>
    <xf numFmtId="165" fontId="8" fillId="0" borderId="15" xfId="0" applyNumberFormat="1" applyFont="1" applyFill="1" applyBorder="1" applyAlignment="1" applyProtection="1">
      <alignment horizontal="center"/>
    </xf>
    <xf numFmtId="2" fontId="0" fillId="2" borderId="1" xfId="0" applyNumberFormat="1" applyFill="1" applyBorder="1" applyAlignment="1" applyProtection="1">
      <alignment horizontal="center"/>
    </xf>
    <xf numFmtId="2" fontId="0" fillId="2" borderId="5" xfId="0" applyNumberFormat="1" applyFill="1" applyBorder="1" applyAlignment="1" applyProtection="1">
      <alignment horizontal="center"/>
    </xf>
    <xf numFmtId="2" fontId="0" fillId="2" borderId="2" xfId="0" applyNumberFormat="1" applyFill="1" applyBorder="1" applyAlignment="1" applyProtection="1">
      <alignment horizontal="center"/>
    </xf>
    <xf numFmtId="2" fontId="0" fillId="0" borderId="4" xfId="0" applyNumberFormat="1" applyFill="1" applyBorder="1" applyAlignment="1" applyProtection="1">
      <alignment horizontal="center"/>
    </xf>
    <xf numFmtId="2" fontId="0" fillId="2" borderId="0" xfId="0" applyNumberFormat="1" applyFill="1" applyBorder="1" applyAlignment="1" applyProtection="1">
      <alignment horizontal="center"/>
    </xf>
    <xf numFmtId="2" fontId="8" fillId="2" borderId="10" xfId="0" applyNumberFormat="1" applyFont="1" applyFill="1" applyBorder="1" applyAlignment="1" applyProtection="1">
      <alignment horizontal="right" indent="1"/>
    </xf>
    <xf numFmtId="2" fontId="2" fillId="2" borderId="4" xfId="0" applyNumberFormat="1" applyFont="1" applyFill="1" applyBorder="1" applyAlignment="1" applyProtection="1">
      <alignment horizontal="right" indent="1"/>
    </xf>
    <xf numFmtId="2" fontId="2" fillId="2" borderId="5" xfId="0" applyNumberFormat="1" applyFont="1" applyFill="1" applyBorder="1" applyAlignment="1" applyProtection="1">
      <alignment horizontal="right" indent="1"/>
    </xf>
    <xf numFmtId="1" fontId="5" fillId="2" borderId="1" xfId="0" applyNumberFormat="1" applyFont="1" applyFill="1" applyBorder="1" applyAlignment="1" applyProtection="1">
      <alignment horizontal="center"/>
    </xf>
    <xf numFmtId="2" fontId="0" fillId="2" borderId="8" xfId="0" applyNumberFormat="1" applyFill="1" applyBorder="1" applyProtection="1"/>
    <xf numFmtId="2" fontId="2" fillId="2" borderId="15" xfId="0" applyNumberFormat="1" applyFont="1" applyFill="1" applyBorder="1" applyAlignment="1" applyProtection="1">
      <alignment horizontal="center"/>
    </xf>
    <xf numFmtId="2" fontId="0" fillId="2" borderId="31" xfId="0" applyNumberFormat="1" applyFill="1" applyBorder="1" applyAlignment="1" applyProtection="1">
      <alignment horizontal="center"/>
    </xf>
    <xf numFmtId="2" fontId="0" fillId="2" borderId="1" xfId="0" applyNumberFormat="1" applyFill="1" applyBorder="1" applyAlignment="1" applyProtection="1">
      <alignment horizontal="center"/>
    </xf>
    <xf numFmtId="1" fontId="2" fillId="2" borderId="0" xfId="0" applyNumberFormat="1" applyFont="1" applyFill="1" applyBorder="1" applyAlignment="1" applyProtection="1">
      <alignment horizontal="left"/>
    </xf>
    <xf numFmtId="2" fontId="0" fillId="0" borderId="32" xfId="0" applyNumberFormat="1" applyFill="1" applyBorder="1" applyAlignment="1" applyProtection="1">
      <alignment horizontal="center"/>
    </xf>
    <xf numFmtId="2" fontId="0" fillId="0" borderId="33" xfId="0" applyNumberFormat="1" applyFill="1" applyBorder="1" applyAlignment="1" applyProtection="1">
      <alignment horizontal="center"/>
    </xf>
    <xf numFmtId="2" fontId="0" fillId="2" borderId="34" xfId="0" applyNumberFormat="1" applyFill="1" applyBorder="1" applyAlignment="1" applyProtection="1">
      <alignment horizontal="center"/>
    </xf>
    <xf numFmtId="2" fontId="95" fillId="0" borderId="0" xfId="0" applyNumberFormat="1" applyFont="1" applyFill="1" applyBorder="1" applyAlignment="1" applyProtection="1">
      <alignment horizontal="center"/>
    </xf>
    <xf numFmtId="2" fontId="0" fillId="2" borderId="2" xfId="0" applyNumberFormat="1" applyFill="1" applyBorder="1" applyAlignment="1" applyProtection="1">
      <alignment horizontal="right"/>
    </xf>
    <xf numFmtId="2" fontId="11" fillId="3" borderId="7" xfId="0" applyNumberFormat="1" applyFont="1" applyFill="1" applyBorder="1" applyAlignment="1" applyProtection="1">
      <alignment horizontal="left" vertical="top" indent="2"/>
    </xf>
    <xf numFmtId="2" fontId="11" fillId="3" borderId="9" xfId="0" applyNumberFormat="1" applyFont="1" applyFill="1" applyBorder="1" applyAlignment="1" applyProtection="1">
      <alignment horizontal="left" vertical="top" indent="2"/>
    </xf>
    <xf numFmtId="2" fontId="11" fillId="3" borderId="0" xfId="0" applyNumberFormat="1" applyFont="1" applyFill="1" applyBorder="1" applyAlignment="1" applyProtection="1">
      <alignment horizontal="left" vertical="top" indent="2"/>
    </xf>
    <xf numFmtId="1" fontId="23" fillId="2" borderId="13" xfId="0" applyNumberFormat="1" applyFont="1" applyFill="1" applyBorder="1" applyAlignment="1" applyProtection="1">
      <alignment horizontal="center"/>
    </xf>
    <xf numFmtId="0" fontId="8" fillId="3" borderId="0" xfId="0" applyFont="1" applyFill="1" applyAlignment="1">
      <alignment horizontal="center"/>
    </xf>
    <xf numFmtId="0" fontId="8" fillId="3" borderId="13" xfId="0" applyFont="1" applyFill="1" applyBorder="1" applyAlignment="1">
      <alignment horizontal="center"/>
    </xf>
    <xf numFmtId="0" fontId="8" fillId="7" borderId="0" xfId="0" applyFont="1" applyFill="1"/>
    <xf numFmtId="0" fontId="0" fillId="7" borderId="0" xfId="0" applyFont="1" applyFill="1"/>
    <xf numFmtId="0" fontId="0" fillId="3" borderId="13" xfId="0" applyFont="1" applyFill="1" applyBorder="1" applyAlignment="1">
      <alignment horizontal="center"/>
    </xf>
    <xf numFmtId="0" fontId="103" fillId="7" borderId="0" xfId="0" applyFont="1" applyFill="1"/>
    <xf numFmtId="0" fontId="103" fillId="7" borderId="0" xfId="0" applyFont="1" applyFill="1" applyAlignment="1">
      <alignment vertical="top"/>
    </xf>
    <xf numFmtId="0" fontId="0" fillId="3" borderId="13" xfId="0" applyFill="1" applyBorder="1" applyAlignment="1">
      <alignment horizontal="center"/>
    </xf>
    <xf numFmtId="0" fontId="1" fillId="3" borderId="13" xfId="0" applyFont="1" applyFill="1" applyBorder="1" applyAlignment="1">
      <alignment horizontal="center"/>
    </xf>
    <xf numFmtId="2" fontId="106" fillId="2" borderId="15" xfId="0" applyNumberFormat="1" applyFont="1" applyFill="1" applyBorder="1" applyAlignment="1" applyProtection="1">
      <alignment horizontal="center"/>
    </xf>
    <xf numFmtId="165" fontId="106" fillId="2" borderId="6" xfId="0" applyNumberFormat="1" applyFont="1" applyFill="1" applyBorder="1" applyAlignment="1" applyProtection="1">
      <alignment horizontal="center"/>
    </xf>
    <xf numFmtId="2" fontId="13" fillId="8" borderId="0" xfId="0" applyNumberFormat="1" applyFont="1" applyFill="1" applyBorder="1" applyProtection="1"/>
    <xf numFmtId="2" fontId="105" fillId="8" borderId="6" xfId="0" applyNumberFormat="1" applyFont="1" applyFill="1" applyBorder="1" applyAlignment="1" applyProtection="1">
      <alignment horizontal="center" vertical="center"/>
    </xf>
    <xf numFmtId="2" fontId="105" fillId="8" borderId="0" xfId="0" applyNumberFormat="1" applyFont="1" applyFill="1" applyBorder="1" applyAlignment="1" applyProtection="1">
      <alignment horizontal="center" vertical="center"/>
    </xf>
    <xf numFmtId="2" fontId="105" fillId="8" borderId="15" xfId="0" applyNumberFormat="1" applyFont="1" applyFill="1" applyBorder="1" applyAlignment="1" applyProtection="1">
      <alignment horizontal="center" vertical="center"/>
    </xf>
    <xf numFmtId="2" fontId="105" fillId="8" borderId="1" xfId="0" applyNumberFormat="1" applyFont="1" applyFill="1" applyBorder="1" applyAlignment="1" applyProtection="1">
      <alignment horizontal="center" vertical="center"/>
    </xf>
    <xf numFmtId="165" fontId="20" fillId="8" borderId="0" xfId="0" applyNumberFormat="1" applyFont="1" applyFill="1" applyBorder="1" applyAlignment="1" applyProtection="1">
      <alignment horizontal="center"/>
    </xf>
    <xf numFmtId="1" fontId="20" fillId="8" borderId="0" xfId="0" applyNumberFormat="1" applyFont="1" applyFill="1" applyBorder="1" applyAlignment="1" applyProtection="1">
      <alignment horizontal="center"/>
    </xf>
    <xf numFmtId="2" fontId="13" fillId="8" borderId="0" xfId="0" applyNumberFormat="1" applyFont="1" applyFill="1" applyBorder="1" applyAlignment="1" applyProtection="1">
      <alignment horizontal="center"/>
    </xf>
    <xf numFmtId="2" fontId="99" fillId="8" borderId="4" xfId="0" applyNumberFormat="1" applyFont="1" applyFill="1" applyBorder="1" applyAlignment="1" applyProtection="1">
      <alignment horizontal="center" vertical="center"/>
    </xf>
    <xf numFmtId="2" fontId="99" fillId="8" borderId="0" xfId="0" applyNumberFormat="1" applyFont="1" applyFill="1" applyBorder="1" applyAlignment="1" applyProtection="1">
      <alignment horizontal="center" vertical="center"/>
    </xf>
    <xf numFmtId="2" fontId="0" fillId="8" borderId="0" xfId="0" applyNumberFormat="1" applyFill="1" applyBorder="1" applyProtection="1"/>
    <xf numFmtId="0" fontId="0" fillId="8" borderId="0" xfId="0" applyFill="1" applyProtection="1"/>
    <xf numFmtId="2" fontId="0" fillId="8" borderId="0" xfId="0" applyNumberFormat="1" applyFill="1" applyProtection="1"/>
    <xf numFmtId="2" fontId="99" fillId="8" borderId="25" xfId="0" applyNumberFormat="1" applyFont="1" applyFill="1" applyBorder="1" applyAlignment="1" applyProtection="1">
      <alignment horizontal="center" vertical="center"/>
    </xf>
    <xf numFmtId="2" fontId="8" fillId="8" borderId="0" xfId="0" applyNumberFormat="1" applyFont="1" applyFill="1" applyAlignment="1" applyProtection="1">
      <alignment horizontal="center" vertical="center"/>
    </xf>
    <xf numFmtId="2" fontId="9" fillId="8" borderId="0" xfId="0" applyNumberFormat="1" applyFont="1" applyFill="1" applyAlignment="1" applyProtection="1">
      <alignment horizontal="center" vertical="center"/>
    </xf>
    <xf numFmtId="2" fontId="8" fillId="8" borderId="16" xfId="0" applyNumberFormat="1" applyFont="1" applyFill="1" applyBorder="1" applyAlignment="1" applyProtection="1">
      <alignment horizontal="center" vertical="center"/>
    </xf>
    <xf numFmtId="2" fontId="8" fillId="8" borderId="19" xfId="0" applyNumberFormat="1" applyFont="1" applyFill="1" applyBorder="1" applyAlignment="1" applyProtection="1">
      <alignment horizontal="center" vertical="center"/>
    </xf>
    <xf numFmtId="2" fontId="23" fillId="8" borderId="0" xfId="0" applyNumberFormat="1" applyFont="1" applyFill="1" applyBorder="1" applyAlignment="1" applyProtection="1">
      <alignment horizontal="center" vertical="center" wrapText="1"/>
    </xf>
    <xf numFmtId="2" fontId="34" fillId="8" borderId="0" xfId="0" applyNumberFormat="1" applyFont="1" applyFill="1" applyBorder="1" applyAlignment="1" applyProtection="1">
      <alignment horizontal="center" vertical="center" wrapText="1"/>
    </xf>
    <xf numFmtId="2" fontId="8" fillId="8" borderId="21" xfId="0" applyNumberFormat="1" applyFont="1" applyFill="1" applyBorder="1" applyAlignment="1" applyProtection="1">
      <alignment horizontal="center" vertical="center"/>
    </xf>
    <xf numFmtId="168" fontId="34" fillId="8" borderId="0" xfId="0" applyNumberFormat="1" applyFont="1" applyFill="1" applyBorder="1" applyAlignment="1" applyProtection="1">
      <alignment horizontal="center" vertical="center" wrapText="1"/>
    </xf>
    <xf numFmtId="168" fontId="8" fillId="8" borderId="0" xfId="0" applyNumberFormat="1" applyFont="1" applyFill="1" applyAlignment="1" applyProtection="1">
      <alignment horizontal="center" vertical="center"/>
    </xf>
    <xf numFmtId="168" fontId="8" fillId="8" borderId="0" xfId="2" applyNumberFormat="1" applyFont="1" applyFill="1" applyAlignment="1" applyProtection="1">
      <alignment horizontal="center" vertical="center"/>
    </xf>
    <xf numFmtId="2" fontId="99" fillId="8" borderId="3" xfId="0" applyNumberFormat="1" applyFont="1" applyFill="1" applyBorder="1" applyAlignment="1" applyProtection="1">
      <alignment horizontal="center" vertical="center"/>
    </xf>
    <xf numFmtId="2" fontId="105" fillId="8" borderId="26" xfId="0" applyNumberFormat="1" applyFont="1" applyFill="1" applyBorder="1" applyAlignment="1" applyProtection="1">
      <alignment horizontal="center" vertical="center"/>
    </xf>
    <xf numFmtId="2" fontId="105" fillId="8" borderId="3" xfId="0" applyNumberFormat="1" applyFont="1" applyFill="1" applyBorder="1" applyAlignment="1" applyProtection="1">
      <alignment horizontal="center" vertical="center"/>
    </xf>
    <xf numFmtId="2" fontId="105" fillId="8" borderId="4" xfId="0" applyNumberFormat="1" applyFont="1" applyFill="1" applyBorder="1" applyAlignment="1" applyProtection="1">
      <alignment horizontal="center" vertical="center"/>
    </xf>
    <xf numFmtId="2" fontId="99" fillId="8" borderId="5" xfId="0" applyNumberFormat="1" applyFont="1" applyFill="1" applyBorder="1" applyAlignment="1" applyProtection="1">
      <alignment horizontal="center" vertical="center"/>
    </xf>
    <xf numFmtId="2" fontId="99" fillId="8" borderId="1" xfId="0" applyNumberFormat="1" applyFont="1" applyFill="1" applyBorder="1" applyAlignment="1" applyProtection="1">
      <alignment horizontal="center" vertical="center"/>
    </xf>
    <xf numFmtId="2" fontId="99" fillId="8" borderId="2" xfId="0" applyNumberFormat="1" applyFont="1" applyFill="1" applyBorder="1" applyAlignment="1" applyProtection="1">
      <alignment horizontal="center" vertical="center"/>
    </xf>
    <xf numFmtId="2" fontId="105" fillId="8" borderId="36" xfId="0" applyNumberFormat="1" applyFont="1" applyFill="1" applyBorder="1" applyAlignment="1" applyProtection="1">
      <alignment horizontal="center" vertical="center"/>
    </xf>
    <xf numFmtId="2" fontId="100" fillId="8" borderId="37" xfId="0" applyNumberFormat="1" applyFont="1" applyFill="1" applyBorder="1" applyAlignment="1" applyProtection="1">
      <alignment horizontal="center" vertical="center"/>
    </xf>
    <xf numFmtId="2" fontId="100" fillId="8" borderId="8" xfId="0" applyNumberFormat="1" applyFont="1" applyFill="1" applyBorder="1" applyAlignment="1" applyProtection="1">
      <alignment horizontal="center" vertical="center"/>
    </xf>
    <xf numFmtId="2" fontId="99" fillId="8" borderId="8" xfId="0" applyNumberFormat="1" applyFont="1" applyFill="1" applyBorder="1" applyAlignment="1" applyProtection="1">
      <alignment horizontal="center" vertical="center"/>
    </xf>
    <xf numFmtId="165" fontId="20" fillId="8" borderId="25" xfId="0" applyNumberFormat="1" applyFont="1" applyFill="1" applyBorder="1" applyAlignment="1" applyProtection="1">
      <alignment horizontal="center"/>
    </xf>
    <xf numFmtId="2" fontId="13" fillId="8" borderId="25" xfId="0" applyNumberFormat="1" applyFont="1" applyFill="1" applyBorder="1" applyProtection="1"/>
    <xf numFmtId="1" fontId="2" fillId="8" borderId="25" xfId="0" applyNumberFormat="1" applyFont="1" applyFill="1" applyBorder="1" applyAlignment="1" applyProtection="1"/>
    <xf numFmtId="1" fontId="2" fillId="8" borderId="0" xfId="0" applyNumberFormat="1" applyFont="1" applyFill="1" applyBorder="1" applyAlignment="1" applyProtection="1"/>
    <xf numFmtId="2" fontId="13" fillId="8" borderId="0" xfId="0" applyNumberFormat="1" applyFont="1" applyFill="1" applyProtection="1"/>
    <xf numFmtId="2" fontId="0" fillId="8" borderId="24" xfId="0" applyNumberFormat="1" applyFill="1" applyBorder="1" applyProtection="1"/>
    <xf numFmtId="0" fontId="2" fillId="8" borderId="24" xfId="0" applyFont="1" applyFill="1" applyBorder="1" applyProtection="1"/>
    <xf numFmtId="0" fontId="2" fillId="8" borderId="0" xfId="0" applyFont="1" applyFill="1" applyBorder="1" applyProtection="1"/>
    <xf numFmtId="0" fontId="2" fillId="8" borderId="0" xfId="0" applyFont="1" applyFill="1" applyProtection="1"/>
    <xf numFmtId="2" fontId="99" fillId="8" borderId="10" xfId="0" applyNumberFormat="1" applyFont="1" applyFill="1" applyBorder="1" applyAlignment="1" applyProtection="1">
      <alignment horizontal="center" vertical="center"/>
    </xf>
    <xf numFmtId="2" fontId="99" fillId="8" borderId="12" xfId="0" applyNumberFormat="1" applyFont="1" applyFill="1" applyBorder="1" applyAlignment="1" applyProtection="1">
      <alignment horizontal="center" vertical="center"/>
    </xf>
    <xf numFmtId="2" fontId="99" fillId="8" borderId="11" xfId="0" applyNumberFormat="1" applyFont="1" applyFill="1" applyBorder="1" applyAlignment="1" applyProtection="1">
      <alignment horizontal="center" vertical="center"/>
    </xf>
    <xf numFmtId="166" fontId="24" fillId="2" borderId="9" xfId="0" applyNumberFormat="1" applyFont="1" applyFill="1" applyBorder="1" applyAlignment="1" applyProtection="1">
      <alignment horizontal="center"/>
    </xf>
    <xf numFmtId="166" fontId="24" fillId="0" borderId="9" xfId="0" applyNumberFormat="1" applyFont="1" applyFill="1" applyBorder="1" applyAlignment="1" applyProtection="1">
      <alignment horizontal="center"/>
    </xf>
    <xf numFmtId="2" fontId="24" fillId="0" borderId="8" xfId="0" applyNumberFormat="1" applyFont="1" applyFill="1" applyBorder="1" applyAlignment="1" applyProtection="1">
      <alignment horizontal="right"/>
    </xf>
    <xf numFmtId="2" fontId="108" fillId="8" borderId="25" xfId="0" applyNumberFormat="1" applyFont="1" applyFill="1" applyBorder="1" applyAlignment="1" applyProtection="1">
      <alignment horizontal="center" vertical="top"/>
    </xf>
    <xf numFmtId="2" fontId="108" fillId="8" borderId="25" xfId="0" applyNumberFormat="1" applyFont="1" applyFill="1" applyBorder="1" applyAlignment="1" applyProtection="1">
      <alignment horizontal="center"/>
    </xf>
    <xf numFmtId="0" fontId="0" fillId="0" borderId="0" xfId="0" applyFill="1" applyProtection="1">
      <protection hidden="1"/>
    </xf>
    <xf numFmtId="0" fontId="1" fillId="0" borderId="0" xfId="0" applyFont="1" applyFill="1" applyProtection="1">
      <protection hidden="1"/>
    </xf>
    <xf numFmtId="2" fontId="0" fillId="2" borderId="0" xfId="0" quotePrefix="1" applyNumberFormat="1" applyFill="1" applyProtection="1"/>
    <xf numFmtId="2" fontId="23" fillId="3" borderId="41" xfId="0" applyNumberFormat="1" applyFont="1" applyFill="1" applyBorder="1" applyAlignment="1" applyProtection="1">
      <alignment vertical="center"/>
    </xf>
    <xf numFmtId="2" fontId="23" fillId="3" borderId="40" xfId="0" applyNumberFormat="1" applyFont="1" applyFill="1" applyBorder="1" applyAlignment="1" applyProtection="1">
      <alignment horizontal="center" vertical="top"/>
    </xf>
    <xf numFmtId="2" fontId="0" fillId="2" borderId="1" xfId="0" applyNumberFormat="1" applyFill="1" applyBorder="1" applyAlignment="1" applyProtection="1">
      <alignment horizontal="left"/>
    </xf>
    <xf numFmtId="0" fontId="0" fillId="0" borderId="0" xfId="0" applyFont="1" applyFill="1" applyProtection="1">
      <protection hidden="1"/>
    </xf>
    <xf numFmtId="0" fontId="1" fillId="2" borderId="0" xfId="0" applyFont="1" applyFill="1" applyProtection="1">
      <protection hidden="1"/>
    </xf>
    <xf numFmtId="0" fontId="0" fillId="2" borderId="0" xfId="0" applyFill="1" applyProtection="1">
      <protection hidden="1"/>
    </xf>
    <xf numFmtId="0" fontId="0" fillId="2" borderId="0" xfId="0" applyFont="1" applyFill="1" applyProtection="1">
      <protection hidden="1"/>
    </xf>
    <xf numFmtId="2" fontId="5" fillId="2" borderId="2" xfId="0" applyNumberFormat="1" applyFont="1" applyFill="1" applyBorder="1" applyAlignment="1" applyProtection="1">
      <alignment horizontal="center"/>
    </xf>
    <xf numFmtId="1" fontId="5" fillId="0" borderId="3" xfId="0" applyNumberFormat="1" applyFont="1" applyFill="1" applyBorder="1" applyAlignment="1" applyProtection="1">
      <alignment horizontal="center"/>
    </xf>
    <xf numFmtId="2" fontId="5" fillId="2" borderId="42" xfId="0" applyNumberFormat="1" applyFont="1" applyFill="1" applyBorder="1" applyAlignment="1" applyProtection="1">
      <alignment horizontal="center"/>
    </xf>
    <xf numFmtId="2" fontId="3" fillId="0" borderId="44" xfId="0" applyNumberFormat="1" applyFont="1" applyFill="1" applyBorder="1" applyAlignment="1" applyProtection="1">
      <alignment horizontal="center"/>
    </xf>
    <xf numFmtId="2" fontId="5" fillId="3" borderId="48" xfId="0" applyNumberFormat="1" applyFont="1" applyFill="1" applyBorder="1" applyAlignment="1" applyProtection="1">
      <alignment horizontal="center"/>
    </xf>
    <xf numFmtId="2" fontId="5" fillId="2" borderId="5" xfId="0" applyNumberFormat="1" applyFont="1" applyFill="1" applyBorder="1" applyAlignment="1" applyProtection="1">
      <alignment horizontal="center"/>
    </xf>
    <xf numFmtId="2" fontId="5" fillId="2" borderId="4" xfId="0" applyNumberFormat="1" applyFont="1" applyFill="1" applyBorder="1" applyAlignment="1" applyProtection="1">
      <alignment horizontal="center"/>
    </xf>
    <xf numFmtId="1" fontId="0" fillId="0" borderId="43" xfId="0" applyNumberFormat="1" applyFill="1" applyBorder="1" applyAlignment="1" applyProtection="1">
      <alignment horizontal="center"/>
    </xf>
    <xf numFmtId="2" fontId="0" fillId="3" borderId="49" xfId="0" applyNumberFormat="1" applyFill="1" applyBorder="1" applyAlignment="1" applyProtection="1">
      <alignment horizontal="center"/>
    </xf>
    <xf numFmtId="1" fontId="76" fillId="3" borderId="51" xfId="0" applyNumberFormat="1" applyFont="1" applyFill="1" applyBorder="1" applyAlignment="1" applyProtection="1">
      <alignment horizontal="center" vertical="center"/>
    </xf>
    <xf numFmtId="2" fontId="74" fillId="3" borderId="47" xfId="0" applyNumberFormat="1" applyFont="1" applyFill="1" applyBorder="1" applyAlignment="1" applyProtection="1">
      <alignment vertical="center"/>
    </xf>
    <xf numFmtId="2" fontId="0" fillId="2" borderId="0" xfId="0" applyNumberFormat="1" applyFont="1" applyFill="1" applyBorder="1" applyProtection="1"/>
    <xf numFmtId="2" fontId="117" fillId="2" borderId="4" xfId="0" applyNumberFormat="1" applyFont="1" applyFill="1" applyBorder="1" applyAlignment="1" applyProtection="1"/>
    <xf numFmtId="2" fontId="117" fillId="2" borderId="4" xfId="0" applyNumberFormat="1" applyFont="1" applyFill="1" applyBorder="1" applyAlignment="1" applyProtection="1">
      <alignment vertical="center"/>
    </xf>
    <xf numFmtId="2" fontId="117" fillId="2" borderId="4" xfId="0" applyNumberFormat="1" applyFont="1" applyFill="1" applyBorder="1" applyAlignment="1" applyProtection="1">
      <alignment vertical="top"/>
    </xf>
    <xf numFmtId="2" fontId="28" fillId="0" borderId="0" xfId="0" applyNumberFormat="1" applyFont="1" applyFill="1" applyBorder="1" applyAlignment="1" applyProtection="1">
      <alignment horizontal="center"/>
    </xf>
    <xf numFmtId="1" fontId="26" fillId="0" borderId="0" xfId="0" applyNumberFormat="1" applyFont="1" applyFill="1" applyBorder="1" applyAlignment="1" applyProtection="1">
      <alignment horizontal="center"/>
    </xf>
    <xf numFmtId="165" fontId="52" fillId="0" borderId="9" xfId="0" applyNumberFormat="1" applyFont="1" applyFill="1" applyBorder="1" applyAlignment="1" applyProtection="1">
      <alignment horizontal="center"/>
    </xf>
    <xf numFmtId="165" fontId="0" fillId="2" borderId="9" xfId="0" applyNumberFormat="1" applyFill="1" applyBorder="1" applyAlignment="1" applyProtection="1">
      <alignment horizontal="right"/>
    </xf>
    <xf numFmtId="2" fontId="118" fillId="2" borderId="4" xfId="0" applyNumberFormat="1" applyFont="1" applyFill="1" applyBorder="1" applyAlignment="1" applyProtection="1">
      <alignment horizontal="center"/>
    </xf>
    <xf numFmtId="2" fontId="118" fillId="2" borderId="5" xfId="0" applyNumberFormat="1" applyFont="1" applyFill="1" applyBorder="1" applyAlignment="1" applyProtection="1">
      <alignment horizontal="right" vertical="top"/>
    </xf>
    <xf numFmtId="1" fontId="118" fillId="2" borderId="0" xfId="0" applyNumberFormat="1" applyFont="1" applyFill="1" applyBorder="1" applyAlignment="1" applyProtection="1">
      <alignment horizontal="center"/>
    </xf>
    <xf numFmtId="1" fontId="118" fillId="2" borderId="1" xfId="0" applyNumberFormat="1" applyFont="1" applyFill="1" applyBorder="1" applyAlignment="1" applyProtection="1">
      <alignment horizontal="center" vertical="top"/>
    </xf>
    <xf numFmtId="2" fontId="8" fillId="2" borderId="12" xfId="0" applyNumberFormat="1" applyFont="1" applyFill="1" applyBorder="1" applyAlignment="1" applyProtection="1">
      <alignment horizontal="center"/>
    </xf>
    <xf numFmtId="2" fontId="50" fillId="2" borderId="1" xfId="0" applyNumberFormat="1" applyFont="1" applyFill="1" applyBorder="1" applyAlignment="1" applyProtection="1">
      <alignment vertical="top"/>
    </xf>
    <xf numFmtId="2" fontId="33" fillId="2" borderId="0" xfId="0" applyNumberFormat="1" applyFont="1" applyFill="1" applyBorder="1" applyAlignment="1" applyProtection="1">
      <alignment horizontal="center"/>
    </xf>
    <xf numFmtId="166" fontId="33" fillId="2" borderId="0" xfId="0" applyNumberFormat="1" applyFont="1" applyFill="1" applyBorder="1" applyAlignment="1" applyProtection="1">
      <alignment horizontal="center"/>
    </xf>
    <xf numFmtId="2" fontId="8" fillId="2" borderId="10" xfId="0" applyNumberFormat="1" applyFont="1" applyFill="1" applyBorder="1" applyAlignment="1" applyProtection="1">
      <alignment horizontal="center"/>
    </xf>
    <xf numFmtId="2" fontId="8" fillId="2" borderId="14" xfId="0" applyNumberFormat="1" applyFont="1" applyFill="1" applyBorder="1" applyAlignment="1" applyProtection="1">
      <alignment horizontal="center"/>
    </xf>
    <xf numFmtId="166" fontId="0" fillId="0" borderId="14" xfId="0" quotePrefix="1" applyNumberFormat="1" applyFill="1" applyBorder="1" applyAlignment="1" applyProtection="1">
      <alignment horizontal="center"/>
    </xf>
    <xf numFmtId="166" fontId="0" fillId="0" borderId="15" xfId="0" quotePrefix="1" applyNumberFormat="1" applyFill="1" applyBorder="1" applyAlignment="1" applyProtection="1">
      <alignment horizontal="center"/>
    </xf>
    <xf numFmtId="2" fontId="0" fillId="0" borderId="2" xfId="0" quotePrefix="1" applyNumberFormat="1" applyFill="1" applyBorder="1" applyAlignment="1" applyProtection="1">
      <alignment horizontal="center"/>
    </xf>
    <xf numFmtId="166" fontId="23" fillId="2" borderId="14" xfId="0" applyNumberFormat="1" applyFont="1" applyFill="1" applyBorder="1" applyAlignment="1" applyProtection="1">
      <alignment horizontal="center"/>
    </xf>
    <xf numFmtId="166" fontId="23" fillId="2" borderId="15" xfId="0" applyNumberFormat="1" applyFont="1" applyFill="1" applyBorder="1" applyAlignment="1" applyProtection="1">
      <alignment horizontal="center"/>
    </xf>
    <xf numFmtId="2" fontId="0" fillId="2" borderId="56" xfId="0" applyNumberFormat="1" applyFill="1" applyBorder="1" applyProtection="1"/>
    <xf numFmtId="1" fontId="23" fillId="9" borderId="54" xfId="0" applyNumberFormat="1" applyFont="1" applyFill="1" applyBorder="1" applyAlignment="1" applyProtection="1">
      <alignment horizontal="center" vertical="center"/>
    </xf>
    <xf numFmtId="2" fontId="23" fillId="3" borderId="55" xfId="0" applyNumberFormat="1" applyFont="1" applyFill="1" applyBorder="1" applyAlignment="1" applyProtection="1">
      <alignment horizontal="right"/>
    </xf>
    <xf numFmtId="2" fontId="0" fillId="0" borderId="4" xfId="0" applyNumberFormat="1" applyFill="1" applyBorder="1" applyAlignment="1" applyProtection="1">
      <alignment horizontal="center"/>
    </xf>
    <xf numFmtId="2" fontId="0" fillId="2" borderId="0" xfId="0" applyNumberFormat="1" applyFill="1" applyBorder="1" applyAlignment="1" applyProtection="1">
      <alignment horizontal="left"/>
    </xf>
    <xf numFmtId="2" fontId="0" fillId="2" borderId="1" xfId="0" applyNumberFormat="1" applyFill="1" applyBorder="1" applyAlignment="1" applyProtection="1">
      <alignment horizontal="left"/>
    </xf>
    <xf numFmtId="2" fontId="0" fillId="0" borderId="1" xfId="0" applyNumberFormat="1" applyFill="1" applyBorder="1" applyAlignment="1" applyProtection="1">
      <alignment horizontal="center"/>
    </xf>
    <xf numFmtId="2" fontId="74" fillId="3" borderId="62" xfId="0" applyNumberFormat="1" applyFont="1" applyFill="1" applyBorder="1" applyAlignment="1" applyProtection="1"/>
    <xf numFmtId="2" fontId="2" fillId="0" borderId="0" xfId="0" applyNumberFormat="1" applyFont="1" applyFill="1" applyBorder="1" applyAlignment="1" applyProtection="1">
      <alignment horizontal="left"/>
    </xf>
    <xf numFmtId="2" fontId="122" fillId="10" borderId="7" xfId="0" applyNumberFormat="1" applyFont="1" applyFill="1" applyBorder="1" applyAlignment="1" applyProtection="1">
      <alignment vertical="center"/>
    </xf>
    <xf numFmtId="2" fontId="120" fillId="10" borderId="12" xfId="0" applyNumberFormat="1" applyFont="1" applyFill="1" applyBorder="1" applyAlignment="1" applyProtection="1">
      <alignment horizontal="center" vertical="center"/>
    </xf>
    <xf numFmtId="2" fontId="120" fillId="10" borderId="15" xfId="0" applyNumberFormat="1" applyFont="1" applyFill="1" applyBorder="1" applyAlignment="1" applyProtection="1">
      <alignment horizontal="center"/>
    </xf>
    <xf numFmtId="165" fontId="122" fillId="10" borderId="6" xfId="0" applyNumberFormat="1" applyFont="1" applyFill="1" applyBorder="1" applyAlignment="1" applyProtection="1">
      <alignment horizontal="center"/>
    </xf>
    <xf numFmtId="1" fontId="5" fillId="10" borderId="11" xfId="0" applyNumberFormat="1" applyFont="1" applyFill="1" applyBorder="1" applyAlignment="1" applyProtection="1">
      <alignment horizontal="center" vertical="center"/>
    </xf>
    <xf numFmtId="2" fontId="120" fillId="10" borderId="64" xfId="0" applyNumberFormat="1" applyFont="1" applyFill="1" applyBorder="1" applyAlignment="1" applyProtection="1">
      <alignment horizontal="center" vertical="center"/>
    </xf>
    <xf numFmtId="2" fontId="76" fillId="10" borderId="12" xfId="0" applyNumberFormat="1" applyFont="1" applyFill="1" applyBorder="1" applyAlignment="1" applyProtection="1">
      <alignment horizontal="center" vertical="center"/>
    </xf>
    <xf numFmtId="2" fontId="76" fillId="0" borderId="9" xfId="0" quotePrefix="1" applyNumberFormat="1" applyFont="1" applyFill="1" applyBorder="1" applyAlignment="1" applyProtection="1">
      <alignment horizontal="center" vertical="center"/>
    </xf>
    <xf numFmtId="2" fontId="76" fillId="10" borderId="61" xfId="0" applyNumberFormat="1" applyFont="1" applyFill="1" applyBorder="1" applyAlignment="1" applyProtection="1">
      <alignment horizontal="center" vertical="center"/>
    </xf>
    <xf numFmtId="2" fontId="76" fillId="0" borderId="64" xfId="0" quotePrefix="1" applyNumberFormat="1" applyFont="1" applyFill="1" applyBorder="1" applyAlignment="1" applyProtection="1">
      <alignment horizontal="center" vertical="center"/>
    </xf>
    <xf numFmtId="1" fontId="0" fillId="0" borderId="0" xfId="0" applyNumberFormat="1" applyFill="1" applyBorder="1" applyAlignment="1" applyProtection="1">
      <alignment horizontal="center"/>
    </xf>
    <xf numFmtId="2" fontId="4" fillId="0" borderId="0" xfId="0" applyNumberFormat="1" applyFont="1" applyFill="1" applyBorder="1" applyAlignment="1" applyProtection="1">
      <alignment horizontal="center"/>
    </xf>
    <xf numFmtId="1" fontId="0" fillId="0" borderId="0" xfId="0" quotePrefix="1" applyNumberFormat="1" applyFill="1" applyBorder="1" applyAlignment="1" applyProtection="1">
      <alignment horizontal="center"/>
    </xf>
    <xf numFmtId="2" fontId="116" fillId="2" borderId="0" xfId="0" applyNumberFormat="1" applyFont="1" applyFill="1" applyBorder="1" applyAlignment="1" applyProtection="1">
      <alignment horizontal="left"/>
    </xf>
    <xf numFmtId="2" fontId="76" fillId="10" borderId="8" xfId="0" applyNumberFormat="1" applyFont="1" applyFill="1" applyBorder="1" applyAlignment="1" applyProtection="1">
      <alignment horizontal="center" vertical="center"/>
    </xf>
    <xf numFmtId="2" fontId="120" fillId="10" borderId="8" xfId="0" applyNumberFormat="1" applyFont="1" applyFill="1" applyBorder="1" applyAlignment="1" applyProtection="1">
      <alignment horizontal="center" vertical="center"/>
    </xf>
    <xf numFmtId="2" fontId="65" fillId="3" borderId="0" xfId="0" applyNumberFormat="1" applyFont="1" applyFill="1" applyBorder="1" applyAlignment="1" applyProtection="1">
      <alignment horizontal="left"/>
    </xf>
    <xf numFmtId="2" fontId="26" fillId="3" borderId="0" xfId="0" applyNumberFormat="1" applyFont="1" applyFill="1" applyBorder="1" applyAlignment="1" applyProtection="1">
      <alignment horizontal="left"/>
    </xf>
    <xf numFmtId="2" fontId="65" fillId="3" borderId="43" xfId="0" applyNumberFormat="1" applyFont="1" applyFill="1" applyBorder="1" applyAlignment="1" applyProtection="1">
      <alignment horizontal="left"/>
    </xf>
    <xf numFmtId="2" fontId="26" fillId="3" borderId="43" xfId="0" applyNumberFormat="1" applyFont="1" applyFill="1" applyBorder="1" applyAlignment="1" applyProtection="1">
      <alignment horizontal="left"/>
    </xf>
    <xf numFmtId="1" fontId="26" fillId="0" borderId="44" xfId="0" applyNumberFormat="1" applyFont="1" applyFill="1" applyBorder="1" applyAlignment="1" applyProtection="1">
      <alignment horizontal="center"/>
    </xf>
    <xf numFmtId="2" fontId="28" fillId="0" borderId="44" xfId="0" applyNumberFormat="1" applyFont="1" applyFill="1" applyBorder="1" applyAlignment="1" applyProtection="1">
      <alignment horizontal="center"/>
    </xf>
    <xf numFmtId="2" fontId="3" fillId="0" borderId="39" xfId="0" applyNumberFormat="1" applyFont="1" applyFill="1" applyBorder="1" applyAlignment="1" applyProtection="1">
      <alignment horizontal="center" vertical="center"/>
    </xf>
    <xf numFmtId="165" fontId="5" fillId="3" borderId="40" xfId="0" applyNumberFormat="1" applyFont="1" applyFill="1" applyBorder="1" applyAlignment="1" applyProtection="1">
      <alignment horizontal="center" vertical="center"/>
    </xf>
    <xf numFmtId="2" fontId="89" fillId="4" borderId="70" xfId="0" applyNumberFormat="1" applyFont="1" applyFill="1" applyBorder="1" applyAlignment="1" applyProtection="1">
      <alignment horizontal="center"/>
    </xf>
    <xf numFmtId="2" fontId="2" fillId="2" borderId="8"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1" fontId="26" fillId="3" borderId="0" xfId="0" applyNumberFormat="1" applyFont="1" applyFill="1" applyBorder="1" applyAlignment="1" applyProtection="1">
      <alignment horizontal="center"/>
    </xf>
    <xf numFmtId="2" fontId="26" fillId="3" borderId="44" xfId="0" applyNumberFormat="1" applyFont="1" applyFill="1" applyBorder="1" applyAlignment="1" applyProtection="1">
      <alignment horizontal="center"/>
    </xf>
    <xf numFmtId="2" fontId="26" fillId="3" borderId="44" xfId="0" applyNumberFormat="1" applyFont="1" applyFill="1" applyBorder="1" applyAlignment="1" applyProtection="1">
      <alignment horizontal="center" vertical="center"/>
    </xf>
    <xf numFmtId="2" fontId="5" fillId="2" borderId="0" xfId="0" applyNumberFormat="1" applyFont="1" applyFill="1" applyBorder="1" applyAlignment="1" applyProtection="1">
      <alignment horizontal="center"/>
    </xf>
    <xf numFmtId="1" fontId="2" fillId="2" borderId="0" xfId="0" applyNumberFormat="1" applyFont="1" applyFill="1" applyBorder="1" applyAlignment="1" applyProtection="1">
      <alignment horizontal="left"/>
    </xf>
    <xf numFmtId="2" fontId="0" fillId="2" borderId="0" xfId="0" applyNumberFormat="1" applyFill="1" applyBorder="1" applyAlignment="1" applyProtection="1">
      <alignment horizontal="center"/>
    </xf>
    <xf numFmtId="2" fontId="23" fillId="10" borderId="12" xfId="0" quotePrefix="1" applyNumberFormat="1" applyFont="1" applyFill="1" applyBorder="1" applyAlignment="1" applyProtection="1">
      <alignment horizontal="center" vertical="center"/>
    </xf>
    <xf numFmtId="2" fontId="2" fillId="2" borderId="0" xfId="0" applyNumberFormat="1" applyFont="1" applyFill="1" applyBorder="1" applyAlignment="1" applyProtection="1">
      <alignment horizontal="left"/>
    </xf>
    <xf numFmtId="2" fontId="23" fillId="3" borderId="79" xfId="0" applyNumberFormat="1" applyFont="1" applyFill="1" applyBorder="1" applyAlignment="1" applyProtection="1">
      <alignment horizontal="left" vertical="top"/>
    </xf>
    <xf numFmtId="2" fontId="0" fillId="2" borderId="80" xfId="0" applyNumberFormat="1" applyFill="1" applyBorder="1" applyAlignment="1" applyProtection="1">
      <alignment horizontal="center"/>
    </xf>
    <xf numFmtId="2" fontId="115" fillId="3" borderId="52" xfId="0" applyNumberFormat="1" applyFont="1" applyFill="1" applyBorder="1" applyAlignment="1" applyProtection="1">
      <alignment horizontal="right" vertical="top"/>
    </xf>
    <xf numFmtId="2" fontId="3" fillId="3" borderId="83" xfId="0" applyNumberFormat="1" applyFont="1" applyFill="1" applyBorder="1" applyAlignment="1" applyProtection="1">
      <alignment horizontal="center" vertical="center"/>
    </xf>
    <xf numFmtId="2" fontId="3" fillId="3" borderId="84" xfId="0" applyNumberFormat="1" applyFont="1" applyFill="1" applyBorder="1" applyAlignment="1" applyProtection="1">
      <alignment horizontal="center" vertical="center"/>
    </xf>
    <xf numFmtId="2" fontId="22" fillId="0" borderId="52" xfId="0" applyNumberFormat="1" applyFont="1" applyFill="1" applyBorder="1" applyAlignment="1" applyProtection="1">
      <alignment horizontal="center" vertical="top"/>
    </xf>
    <xf numFmtId="2" fontId="22" fillId="0" borderId="66" xfId="0" applyNumberFormat="1" applyFont="1" applyFill="1" applyBorder="1" applyAlignment="1" applyProtection="1">
      <alignment horizontal="center" vertical="top"/>
    </xf>
    <xf numFmtId="2" fontId="22" fillId="0" borderId="59" xfId="0" applyNumberFormat="1" applyFont="1" applyFill="1" applyBorder="1" applyAlignment="1" applyProtection="1">
      <alignment horizontal="center"/>
    </xf>
    <xf numFmtId="2" fontId="22" fillId="0" borderId="77" xfId="0" applyNumberFormat="1" applyFont="1" applyFill="1" applyBorder="1" applyAlignment="1" applyProtection="1">
      <alignment horizontal="center"/>
    </xf>
    <xf numFmtId="1" fontId="22" fillId="0" borderId="52" xfId="0" applyNumberFormat="1" applyFont="1" applyFill="1" applyBorder="1" applyAlignment="1" applyProtection="1">
      <alignment horizontal="center" vertical="top"/>
    </xf>
    <xf numFmtId="0" fontId="0" fillId="3" borderId="0" xfId="0" applyFill="1" applyProtection="1">
      <protection hidden="1"/>
    </xf>
    <xf numFmtId="0" fontId="8" fillId="3" borderId="16" xfId="0" applyFont="1" applyFill="1" applyBorder="1" applyAlignment="1" applyProtection="1">
      <protection hidden="1"/>
    </xf>
    <xf numFmtId="0" fontId="8" fillId="3" borderId="17" xfId="0" applyFont="1" applyFill="1" applyBorder="1" applyAlignment="1" applyProtection="1">
      <protection hidden="1"/>
    </xf>
    <xf numFmtId="0" fontId="8" fillId="3" borderId="18" xfId="0" applyFont="1" applyFill="1" applyBorder="1" applyAlignment="1" applyProtection="1">
      <protection hidden="1"/>
    </xf>
    <xf numFmtId="0" fontId="0" fillId="3" borderId="16" xfId="0" applyFill="1" applyBorder="1" applyProtection="1">
      <protection hidden="1"/>
    </xf>
    <xf numFmtId="0" fontId="0" fillId="3" borderId="17" xfId="0" applyFill="1" applyBorder="1" applyProtection="1">
      <protection hidden="1"/>
    </xf>
    <xf numFmtId="0" fontId="0" fillId="3" borderId="18" xfId="0" applyFill="1" applyBorder="1" applyProtection="1">
      <protection hidden="1"/>
    </xf>
    <xf numFmtId="0" fontId="8" fillId="3" borderId="19" xfId="0" applyFont="1" applyFill="1" applyBorder="1" applyAlignment="1" applyProtection="1">
      <protection hidden="1"/>
    </xf>
    <xf numFmtId="0" fontId="8" fillId="3" borderId="0" xfId="0" applyFont="1" applyFill="1" applyBorder="1" applyAlignment="1" applyProtection="1">
      <protection hidden="1"/>
    </xf>
    <xf numFmtId="0" fontId="8" fillId="3" borderId="20" xfId="0" applyFont="1" applyFill="1" applyBorder="1" applyProtection="1">
      <protection hidden="1"/>
    </xf>
    <xf numFmtId="0" fontId="0" fillId="3" borderId="19" xfId="0" applyFill="1" applyBorder="1" applyProtection="1">
      <protection hidden="1"/>
    </xf>
    <xf numFmtId="0" fontId="0" fillId="3" borderId="0" xfId="0" applyFill="1" applyBorder="1" applyProtection="1">
      <protection hidden="1"/>
    </xf>
    <xf numFmtId="0" fontId="0" fillId="3" borderId="20" xfId="0" applyFill="1" applyBorder="1" applyProtection="1">
      <protection hidden="1"/>
    </xf>
    <xf numFmtId="0" fontId="8" fillId="3" borderId="21" xfId="0" applyFont="1" applyFill="1" applyBorder="1" applyAlignment="1" applyProtection="1">
      <protection hidden="1"/>
    </xf>
    <xf numFmtId="0" fontId="8" fillId="3" borderId="22" xfId="0" applyFont="1" applyFill="1" applyBorder="1" applyAlignment="1" applyProtection="1">
      <protection hidden="1"/>
    </xf>
    <xf numFmtId="0" fontId="8" fillId="3" borderId="23" xfId="0" applyFont="1" applyFill="1" applyBorder="1" applyProtection="1">
      <protection hidden="1"/>
    </xf>
    <xf numFmtId="0" fontId="0" fillId="3" borderId="21" xfId="0" applyFill="1" applyBorder="1" applyProtection="1">
      <protection hidden="1"/>
    </xf>
    <xf numFmtId="0" fontId="0" fillId="3" borderId="22" xfId="0" applyFill="1" applyBorder="1" applyProtection="1">
      <protection hidden="1"/>
    </xf>
    <xf numFmtId="0" fontId="21" fillId="3" borderId="23" xfId="0" applyFont="1" applyFill="1" applyBorder="1" applyProtection="1">
      <protection hidden="1"/>
    </xf>
    <xf numFmtId="0" fontId="0" fillId="3" borderId="7" xfId="0" applyFill="1" applyBorder="1" applyAlignment="1" applyProtection="1">
      <alignment horizontal="center"/>
      <protection hidden="1"/>
    </xf>
    <xf numFmtId="0" fontId="0" fillId="3" borderId="9" xfId="0" applyFill="1" applyBorder="1" applyAlignment="1" applyProtection="1">
      <alignment horizontal="center"/>
      <protection hidden="1"/>
    </xf>
    <xf numFmtId="0" fontId="0" fillId="3" borderId="10" xfId="0" applyFill="1" applyBorder="1" applyProtection="1">
      <protection hidden="1"/>
    </xf>
    <xf numFmtId="0" fontId="0" fillId="3" borderId="12" xfId="0" applyFill="1" applyBorder="1" applyProtection="1">
      <protection hidden="1"/>
    </xf>
    <xf numFmtId="0" fontId="0" fillId="3" borderId="11" xfId="0" applyFill="1" applyBorder="1" applyProtection="1">
      <protection hidden="1"/>
    </xf>
    <xf numFmtId="2" fontId="0" fillId="3" borderId="4" xfId="0" applyNumberFormat="1" applyFill="1" applyBorder="1" applyAlignment="1" applyProtection="1">
      <alignment horizontal="center"/>
      <protection hidden="1"/>
    </xf>
    <xf numFmtId="2" fontId="0" fillId="3" borderId="3" xfId="0" applyNumberFormat="1" applyFill="1" applyBorder="1" applyAlignment="1" applyProtection="1">
      <alignment horizontal="center"/>
      <protection hidden="1"/>
    </xf>
    <xf numFmtId="0" fontId="0" fillId="3" borderId="5" xfId="0" applyFill="1" applyBorder="1" applyProtection="1">
      <protection hidden="1"/>
    </xf>
    <xf numFmtId="0" fontId="0" fillId="3" borderId="1" xfId="0" applyFill="1" applyBorder="1" applyProtection="1">
      <protection hidden="1"/>
    </xf>
    <xf numFmtId="0" fontId="0" fillId="3" borderId="2" xfId="0" applyFill="1" applyBorder="1" applyProtection="1">
      <protection hidden="1"/>
    </xf>
    <xf numFmtId="0" fontId="0" fillId="3" borderId="4" xfId="0" applyFill="1" applyBorder="1" applyProtection="1">
      <protection hidden="1"/>
    </xf>
    <xf numFmtId="0" fontId="0" fillId="3" borderId="3" xfId="0" applyFill="1" applyBorder="1" applyProtection="1">
      <protection hidden="1"/>
    </xf>
    <xf numFmtId="2" fontId="0" fillId="3" borderId="5" xfId="0" applyNumberFormat="1" applyFill="1" applyBorder="1" applyAlignment="1" applyProtection="1">
      <alignment horizontal="center"/>
      <protection hidden="1"/>
    </xf>
    <xf numFmtId="2" fontId="0" fillId="3" borderId="2" xfId="0" applyNumberFormat="1" applyFill="1" applyBorder="1" applyAlignment="1" applyProtection="1">
      <alignment horizontal="center"/>
      <protection hidden="1"/>
    </xf>
    <xf numFmtId="0" fontId="0" fillId="3" borderId="0" xfId="0" applyFill="1" applyAlignment="1" applyProtection="1">
      <alignment horizontal="center"/>
      <protection hidden="1"/>
    </xf>
    <xf numFmtId="0" fontId="8" fillId="3" borderId="14" xfId="0" applyFont="1" applyFill="1" applyBorder="1" applyAlignment="1" applyProtection="1">
      <alignment vertical="top" wrapText="1"/>
      <protection hidden="1"/>
    </xf>
    <xf numFmtId="0" fontId="8" fillId="3" borderId="6" xfId="0" applyFont="1" applyFill="1" applyBorder="1" applyAlignment="1" applyProtection="1">
      <alignment vertical="top" wrapText="1"/>
      <protection hidden="1"/>
    </xf>
    <xf numFmtId="0" fontId="8" fillId="3" borderId="15" xfId="0" applyFont="1" applyFill="1" applyBorder="1" applyAlignment="1" applyProtection="1">
      <alignment vertical="top" wrapText="1"/>
      <protection hidden="1"/>
    </xf>
    <xf numFmtId="1" fontId="0" fillId="3" borderId="10" xfId="0" applyNumberFormat="1" applyFill="1" applyBorder="1" applyProtection="1">
      <protection hidden="1"/>
    </xf>
    <xf numFmtId="0" fontId="0" fillId="3" borderId="13" xfId="0" applyFill="1" applyBorder="1" applyAlignment="1" applyProtection="1">
      <alignment horizontal="center"/>
      <protection hidden="1"/>
    </xf>
    <xf numFmtId="165" fontId="0" fillId="3" borderId="13" xfId="0" applyNumberFormat="1" applyFill="1" applyBorder="1" applyAlignment="1" applyProtection="1">
      <alignment horizontal="center"/>
      <protection hidden="1"/>
    </xf>
    <xf numFmtId="1" fontId="0" fillId="3" borderId="4" xfId="0" applyNumberFormat="1" applyFill="1" applyBorder="1" applyProtection="1">
      <protection hidden="1"/>
    </xf>
    <xf numFmtId="2" fontId="0" fillId="3" borderId="5" xfId="0" applyNumberFormat="1" applyFill="1" applyBorder="1" applyProtection="1">
      <protection hidden="1"/>
    </xf>
    <xf numFmtId="0" fontId="1" fillId="3" borderId="0" xfId="0" applyFont="1" applyFill="1" applyAlignment="1" applyProtection="1">
      <alignment horizontal="center"/>
      <protection hidden="1"/>
    </xf>
    <xf numFmtId="2" fontId="0" fillId="3" borderId="0" xfId="0" applyNumberFormat="1" applyFill="1" applyProtection="1">
      <protection hidden="1"/>
    </xf>
    <xf numFmtId="2" fontId="65" fillId="3" borderId="10" xfId="0" applyNumberFormat="1" applyFont="1" applyFill="1" applyBorder="1" applyAlignment="1" applyProtection="1">
      <alignment horizontal="left"/>
    </xf>
    <xf numFmtId="2" fontId="26" fillId="3" borderId="12" xfId="0" applyNumberFormat="1" applyFont="1" applyFill="1" applyBorder="1" applyProtection="1"/>
    <xf numFmtId="2" fontId="65" fillId="3" borderId="12" xfId="0" applyNumberFormat="1" applyFont="1" applyFill="1" applyBorder="1" applyAlignment="1" applyProtection="1">
      <alignment horizontal="left"/>
    </xf>
    <xf numFmtId="2" fontId="26" fillId="3" borderId="11" xfId="0" applyNumberFormat="1" applyFont="1" applyFill="1" applyBorder="1" applyProtection="1"/>
    <xf numFmtId="2" fontId="26" fillId="3" borderId="4" xfId="0" applyNumberFormat="1" applyFont="1" applyFill="1" applyBorder="1" applyAlignment="1" applyProtection="1">
      <alignment horizontal="left"/>
    </xf>
    <xf numFmtId="2" fontId="26" fillId="3" borderId="0" xfId="0" applyNumberFormat="1" applyFont="1" applyFill="1" applyBorder="1" applyAlignment="1" applyProtection="1"/>
    <xf numFmtId="2" fontId="26" fillId="3" borderId="3" xfId="0" applyNumberFormat="1" applyFont="1" applyFill="1" applyBorder="1" applyAlignment="1" applyProtection="1"/>
    <xf numFmtId="2" fontId="65" fillId="3" borderId="4" xfId="0" applyNumberFormat="1" applyFont="1" applyFill="1" applyBorder="1" applyAlignment="1" applyProtection="1">
      <alignment horizontal="left"/>
    </xf>
    <xf numFmtId="2" fontId="28" fillId="3" borderId="0" xfId="0" applyNumberFormat="1" applyFont="1" applyFill="1" applyBorder="1" applyAlignment="1" applyProtection="1">
      <alignment horizontal="center"/>
    </xf>
    <xf numFmtId="2" fontId="28" fillId="3" borderId="3" xfId="0" applyNumberFormat="1" applyFont="1" applyFill="1" applyBorder="1" applyAlignment="1" applyProtection="1">
      <alignment horizontal="center"/>
    </xf>
    <xf numFmtId="2" fontId="3" fillId="3" borderId="2" xfId="0" applyNumberFormat="1" applyFont="1" applyFill="1" applyBorder="1" applyAlignment="1" applyProtection="1">
      <alignment vertical="center"/>
    </xf>
    <xf numFmtId="165" fontId="5" fillId="3" borderId="9" xfId="0" applyNumberFormat="1" applyFont="1" applyFill="1" applyBorder="1" applyAlignment="1" applyProtection="1">
      <alignment horizontal="center" vertical="center"/>
    </xf>
    <xf numFmtId="0" fontId="0" fillId="3" borderId="6" xfId="0" applyFill="1" applyBorder="1" applyProtection="1">
      <protection hidden="1"/>
    </xf>
    <xf numFmtId="2" fontId="0" fillId="3" borderId="1" xfId="0" applyNumberFormat="1" applyFill="1" applyBorder="1" applyProtection="1">
      <protection hidden="1"/>
    </xf>
    <xf numFmtId="2" fontId="0" fillId="3" borderId="5" xfId="0" applyNumberFormat="1" applyFill="1" applyBorder="1" applyAlignment="1" applyProtection="1">
      <alignment wrapText="1"/>
      <protection hidden="1"/>
    </xf>
    <xf numFmtId="2" fontId="0" fillId="3" borderId="2" xfId="0" applyNumberFormat="1" applyFill="1" applyBorder="1" applyAlignment="1" applyProtection="1">
      <alignment wrapText="1"/>
      <protection hidden="1"/>
    </xf>
    <xf numFmtId="0" fontId="0" fillId="3" borderId="15" xfId="0" applyFill="1" applyBorder="1" applyAlignment="1" applyProtection="1">
      <alignment wrapText="1"/>
      <protection hidden="1"/>
    </xf>
    <xf numFmtId="2" fontId="0" fillId="3" borderId="4" xfId="0" applyNumberFormat="1" applyFill="1" applyBorder="1" applyProtection="1">
      <protection hidden="1"/>
    </xf>
    <xf numFmtId="2" fontId="0" fillId="3" borderId="3" xfId="0" applyNumberFormat="1" applyFill="1" applyBorder="1" applyProtection="1">
      <protection hidden="1"/>
    </xf>
    <xf numFmtId="1" fontId="0" fillId="3" borderId="6" xfId="0" applyNumberFormat="1" applyFill="1" applyBorder="1" applyProtection="1">
      <protection hidden="1"/>
    </xf>
    <xf numFmtId="1" fontId="0" fillId="3" borderId="0" xfId="0" applyNumberFormat="1" applyFill="1" applyAlignment="1" applyProtection="1">
      <alignment horizontal="center"/>
      <protection hidden="1"/>
    </xf>
    <xf numFmtId="2" fontId="0" fillId="3" borderId="0" xfId="0" applyNumberFormat="1" applyFill="1" applyAlignment="1" applyProtection="1">
      <alignment horizontal="center"/>
      <protection hidden="1"/>
    </xf>
    <xf numFmtId="1" fontId="0" fillId="3" borderId="4" xfId="0" applyNumberFormat="1" applyFill="1" applyBorder="1" applyAlignment="1" applyProtection="1">
      <alignment horizontal="center"/>
      <protection hidden="1"/>
    </xf>
    <xf numFmtId="0" fontId="0" fillId="3" borderId="0" xfId="0" applyFill="1" applyAlignment="1" applyProtection="1">
      <alignment horizontal="center" vertical="center" wrapText="1"/>
      <protection hidden="1"/>
    </xf>
    <xf numFmtId="0" fontId="1" fillId="3" borderId="0" xfId="0" applyFont="1" applyFill="1" applyProtection="1">
      <protection hidden="1"/>
    </xf>
    <xf numFmtId="0" fontId="0" fillId="3" borderId="14" xfId="0" applyFill="1" applyBorder="1" applyProtection="1">
      <protection hidden="1"/>
    </xf>
    <xf numFmtId="2" fontId="0" fillId="3" borderId="10" xfId="0" applyNumberFormat="1" applyFill="1" applyBorder="1" applyProtection="1">
      <protection hidden="1"/>
    </xf>
    <xf numFmtId="0" fontId="0" fillId="3" borderId="0" xfId="0" applyFill="1" applyAlignment="1" applyProtection="1">
      <alignment horizontal="right"/>
      <protection hidden="1"/>
    </xf>
    <xf numFmtId="0" fontId="0" fillId="3" borderId="15" xfId="0" applyFill="1" applyBorder="1" applyProtection="1">
      <protection hidden="1"/>
    </xf>
    <xf numFmtId="2" fontId="0" fillId="3" borderId="14" xfId="0" applyNumberFormat="1" applyFill="1" applyBorder="1" applyProtection="1">
      <protection hidden="1"/>
    </xf>
    <xf numFmtId="2" fontId="0" fillId="3" borderId="6" xfId="0" applyNumberFormat="1" applyFill="1" applyBorder="1" applyProtection="1">
      <protection hidden="1"/>
    </xf>
    <xf numFmtId="2" fontId="0" fillId="3" borderId="15" xfId="0" applyNumberFormat="1" applyFill="1" applyBorder="1" applyProtection="1">
      <protection hidden="1"/>
    </xf>
    <xf numFmtId="0" fontId="0" fillId="3" borderId="0" xfId="0" quotePrefix="1" applyFill="1" applyProtection="1">
      <protection hidden="1"/>
    </xf>
    <xf numFmtId="2" fontId="0" fillId="3" borderId="0" xfId="0" applyNumberFormat="1" applyFill="1" applyAlignment="1" applyProtection="1">
      <alignment horizontal="center"/>
    </xf>
    <xf numFmtId="2" fontId="0" fillId="3" borderId="0" xfId="0" applyNumberFormat="1" applyFill="1" applyAlignment="1" applyProtection="1">
      <alignment horizontal="center" vertical="center"/>
      <protection hidden="1"/>
    </xf>
    <xf numFmtId="2" fontId="0" fillId="3" borderId="0" xfId="0" applyNumberFormat="1" applyFill="1" applyProtection="1"/>
    <xf numFmtId="1" fontId="0" fillId="3" borderId="0" xfId="0" applyNumberFormat="1" applyFill="1" applyAlignment="1" applyProtection="1">
      <alignment horizontal="left"/>
    </xf>
    <xf numFmtId="2" fontId="0" fillId="3" borderId="0" xfId="0" applyNumberFormat="1" applyFill="1" applyBorder="1" applyProtection="1">
      <protection hidden="1"/>
    </xf>
    <xf numFmtId="2" fontId="0" fillId="3" borderId="12" xfId="0" applyNumberFormat="1" applyFill="1" applyBorder="1" applyAlignment="1" applyProtection="1">
      <alignment horizontal="center"/>
      <protection hidden="1"/>
    </xf>
    <xf numFmtId="1" fontId="0" fillId="3" borderId="11" xfId="0" applyNumberFormat="1" applyFill="1" applyBorder="1" applyAlignment="1" applyProtection="1">
      <alignment horizontal="center"/>
      <protection hidden="1"/>
    </xf>
    <xf numFmtId="2" fontId="0" fillId="3" borderId="0" xfId="0" applyNumberFormat="1" applyFill="1" applyBorder="1" applyAlignment="1" applyProtection="1">
      <alignment horizontal="center"/>
      <protection hidden="1"/>
    </xf>
    <xf numFmtId="0" fontId="0" fillId="3" borderId="0" xfId="0" applyFill="1" applyBorder="1" applyAlignment="1" applyProtection="1">
      <alignment horizontal="right"/>
      <protection hidden="1"/>
    </xf>
    <xf numFmtId="2" fontId="0" fillId="3" borderId="1" xfId="0" applyNumberFormat="1" applyFill="1" applyBorder="1" applyAlignment="1" applyProtection="1">
      <alignment horizontal="center"/>
      <protection hidden="1"/>
    </xf>
    <xf numFmtId="2" fontId="0" fillId="3" borderId="0" xfId="0" applyNumberFormat="1" applyFill="1" applyAlignment="1" applyProtection="1">
      <alignment horizontal="right"/>
      <protection hidden="1"/>
    </xf>
    <xf numFmtId="0" fontId="2" fillId="3" borderId="0" xfId="0" applyFont="1" applyFill="1" applyAlignment="1" applyProtection="1">
      <alignment horizontal="center" vertical="center" wrapText="1"/>
      <protection hidden="1"/>
    </xf>
    <xf numFmtId="2" fontId="22" fillId="3" borderId="59" xfId="0" applyNumberFormat="1" applyFont="1" applyFill="1" applyBorder="1" applyAlignment="1" applyProtection="1">
      <alignment horizontal="center"/>
    </xf>
    <xf numFmtId="2" fontId="22" fillId="3" borderId="77" xfId="0" applyNumberFormat="1" applyFont="1" applyFill="1" applyBorder="1" applyAlignment="1" applyProtection="1">
      <alignment horizontal="center"/>
    </xf>
    <xf numFmtId="2" fontId="22" fillId="3" borderId="52" xfId="0" applyNumberFormat="1" applyFont="1" applyFill="1" applyBorder="1" applyAlignment="1" applyProtection="1">
      <alignment horizontal="center" vertical="top"/>
    </xf>
    <xf numFmtId="2" fontId="22" fillId="3" borderId="66" xfId="0" applyNumberFormat="1" applyFont="1" applyFill="1" applyBorder="1" applyAlignment="1" applyProtection="1">
      <alignment horizontal="center" vertical="top"/>
    </xf>
    <xf numFmtId="0" fontId="1" fillId="3" borderId="0" xfId="0" applyFont="1" applyFill="1" applyBorder="1" applyAlignment="1" applyProtection="1">
      <alignment horizontal="right"/>
      <protection hidden="1"/>
    </xf>
    <xf numFmtId="166" fontId="1" fillId="3" borderId="0" xfId="0" applyNumberFormat="1" applyFont="1" applyFill="1" applyProtection="1">
      <protection hidden="1"/>
    </xf>
    <xf numFmtId="0" fontId="0" fillId="3" borderId="0" xfId="0" applyFont="1" applyFill="1" applyProtection="1">
      <protection hidden="1"/>
    </xf>
    <xf numFmtId="166" fontId="0" fillId="3" borderId="0" xfId="0" applyNumberFormat="1" applyFill="1" applyAlignment="1" applyProtection="1">
      <alignment horizontal="center"/>
      <protection hidden="1"/>
    </xf>
    <xf numFmtId="2" fontId="0" fillId="3" borderId="0" xfId="0" applyNumberFormat="1" applyFill="1" applyAlignment="1" applyProtection="1">
      <alignment horizontal="left"/>
      <protection hidden="1"/>
    </xf>
    <xf numFmtId="1" fontId="0" fillId="3" borderId="0" xfId="0" applyNumberFormat="1" applyFill="1" applyAlignment="1" applyProtection="1">
      <alignment horizontal="left"/>
      <protection hidden="1"/>
    </xf>
    <xf numFmtId="2" fontId="23" fillId="3" borderId="52" xfId="0" applyNumberFormat="1" applyFont="1" applyFill="1" applyBorder="1" applyAlignment="1" applyProtection="1">
      <alignment horizontal="left" vertical="top"/>
    </xf>
    <xf numFmtId="2" fontId="23" fillId="3" borderId="88" xfId="0" applyNumberFormat="1" applyFont="1" applyFill="1" applyBorder="1" applyAlignment="1" applyProtection="1">
      <alignment horizontal="right" vertical="top"/>
    </xf>
    <xf numFmtId="2" fontId="138" fillId="11" borderId="90" xfId="0" applyNumberFormat="1" applyFont="1" applyFill="1" applyBorder="1" applyAlignment="1" applyProtection="1">
      <alignment horizontal="right"/>
    </xf>
    <xf numFmtId="2" fontId="138" fillId="11" borderId="91" xfId="0" applyNumberFormat="1" applyFont="1" applyFill="1" applyBorder="1" applyAlignment="1" applyProtection="1">
      <alignment vertical="top"/>
    </xf>
    <xf numFmtId="2" fontId="3" fillId="0" borderId="43" xfId="0" applyNumberFormat="1" applyFont="1" applyFill="1" applyBorder="1" applyAlignment="1" applyProtection="1">
      <alignment horizontal="center"/>
    </xf>
    <xf numFmtId="2" fontId="3" fillId="0" borderId="0" xfId="0" applyNumberFormat="1" applyFont="1" applyFill="1" applyBorder="1" applyAlignment="1" applyProtection="1">
      <alignment horizontal="center"/>
    </xf>
    <xf numFmtId="2" fontId="0" fillId="0" borderId="4" xfId="0" applyNumberFormat="1" applyFont="1" applyFill="1" applyBorder="1" applyAlignment="1" applyProtection="1">
      <alignment horizontal="center"/>
    </xf>
    <xf numFmtId="2" fontId="0" fillId="0" borderId="0" xfId="0" applyNumberFormat="1" applyFont="1" applyFill="1" applyBorder="1" applyAlignment="1" applyProtection="1">
      <alignment horizontal="center"/>
    </xf>
    <xf numFmtId="2" fontId="33" fillId="2" borderId="10" xfId="0" applyNumberFormat="1" applyFont="1" applyFill="1" applyBorder="1" applyAlignment="1" applyProtection="1">
      <alignment horizontal="left" vertical="top" wrapText="1"/>
    </xf>
    <xf numFmtId="2" fontId="33" fillId="2" borderId="12" xfId="0" applyNumberFormat="1" applyFont="1" applyFill="1" applyBorder="1" applyAlignment="1" applyProtection="1">
      <alignment horizontal="left" vertical="top" wrapText="1"/>
    </xf>
    <xf numFmtId="2" fontId="33" fillId="2" borderId="11" xfId="0" applyNumberFormat="1" applyFont="1" applyFill="1" applyBorder="1" applyAlignment="1" applyProtection="1">
      <alignment horizontal="left" vertical="top" wrapText="1"/>
    </xf>
    <xf numFmtId="2" fontId="33" fillId="2" borderId="4" xfId="0" applyNumberFormat="1" applyFont="1" applyFill="1" applyBorder="1" applyAlignment="1" applyProtection="1">
      <alignment horizontal="left" vertical="top" wrapText="1"/>
    </xf>
    <xf numFmtId="2" fontId="33" fillId="2" borderId="0" xfId="0" applyNumberFormat="1" applyFont="1" applyFill="1" applyBorder="1" applyAlignment="1" applyProtection="1">
      <alignment horizontal="left" vertical="top" wrapText="1"/>
    </xf>
    <xf numFmtId="2" fontId="33" fillId="2" borderId="3" xfId="0" applyNumberFormat="1" applyFont="1" applyFill="1" applyBorder="1" applyAlignment="1" applyProtection="1">
      <alignment horizontal="left" vertical="top" wrapText="1"/>
    </xf>
    <xf numFmtId="2" fontId="33" fillId="2" borderId="5" xfId="0" applyNumberFormat="1" applyFont="1" applyFill="1" applyBorder="1" applyAlignment="1" applyProtection="1">
      <alignment horizontal="left" vertical="top" wrapText="1"/>
    </xf>
    <xf numFmtId="2" fontId="33" fillId="2" borderId="1" xfId="0" applyNumberFormat="1" applyFont="1" applyFill="1" applyBorder="1" applyAlignment="1" applyProtection="1">
      <alignment horizontal="left" vertical="top" wrapText="1"/>
    </xf>
    <xf numFmtId="2" fontId="33" fillId="2" borderId="2" xfId="0" applyNumberFormat="1" applyFont="1" applyFill="1" applyBorder="1" applyAlignment="1" applyProtection="1">
      <alignment horizontal="left" vertical="top" wrapText="1"/>
    </xf>
    <xf numFmtId="2" fontId="33" fillId="2" borderId="4" xfId="0" applyNumberFormat="1" applyFont="1" applyFill="1" applyBorder="1" applyAlignment="1" applyProtection="1">
      <alignment horizontal="left"/>
    </xf>
    <xf numFmtId="2" fontId="33" fillId="2" borderId="0" xfId="0" applyNumberFormat="1" applyFont="1" applyFill="1" applyBorder="1" applyAlignment="1" applyProtection="1">
      <alignment horizontal="left"/>
    </xf>
    <xf numFmtId="2" fontId="33" fillId="2" borderId="3" xfId="0" applyNumberFormat="1" applyFont="1" applyFill="1" applyBorder="1" applyAlignment="1" applyProtection="1">
      <alignment horizontal="left"/>
    </xf>
    <xf numFmtId="2" fontId="0" fillId="0" borderId="1" xfId="0" applyNumberFormat="1" applyFill="1" applyBorder="1" applyAlignment="1" applyProtection="1">
      <alignment horizontal="center"/>
    </xf>
    <xf numFmtId="2" fontId="0" fillId="0" borderId="1" xfId="0" applyNumberFormat="1" applyFont="1" applyFill="1" applyBorder="1" applyAlignment="1" applyProtection="1">
      <alignment horizontal="center"/>
    </xf>
    <xf numFmtId="2" fontId="0" fillId="0" borderId="2" xfId="0" applyNumberFormat="1" applyFont="1" applyFill="1" applyBorder="1" applyAlignment="1" applyProtection="1">
      <alignment horizontal="center"/>
    </xf>
    <xf numFmtId="2" fontId="33" fillId="2" borderId="5" xfId="0" applyNumberFormat="1" applyFont="1" applyFill="1" applyBorder="1" applyAlignment="1" applyProtection="1">
      <alignment horizontal="left" vertical="top"/>
    </xf>
    <xf numFmtId="2" fontId="33" fillId="2" borderId="1" xfId="0" applyNumberFormat="1" applyFont="1" applyFill="1" applyBorder="1" applyAlignment="1" applyProtection="1">
      <alignment horizontal="left" vertical="top"/>
    </xf>
    <xf numFmtId="2" fontId="33" fillId="2" borderId="2" xfId="0" applyNumberFormat="1" applyFont="1" applyFill="1" applyBorder="1" applyAlignment="1" applyProtection="1">
      <alignment horizontal="left" vertical="top"/>
    </xf>
    <xf numFmtId="2" fontId="92" fillId="4" borderId="0" xfId="0" applyNumberFormat="1" applyFont="1" applyFill="1" applyAlignment="1" applyProtection="1">
      <alignment horizontal="left" vertical="center"/>
    </xf>
    <xf numFmtId="0" fontId="125" fillId="4" borderId="71" xfId="0" applyNumberFormat="1" applyFont="1" applyFill="1" applyBorder="1" applyAlignment="1" applyProtection="1">
      <alignment horizontal="center" vertical="center"/>
    </xf>
    <xf numFmtId="0" fontId="125" fillId="4" borderId="72" xfId="0" applyNumberFormat="1" applyFont="1" applyFill="1" applyBorder="1" applyAlignment="1" applyProtection="1">
      <alignment horizontal="center" vertical="center"/>
    </xf>
    <xf numFmtId="2" fontId="0" fillId="0" borderId="3" xfId="0" applyNumberFormat="1" applyFont="1" applyFill="1" applyBorder="1" applyAlignment="1" applyProtection="1">
      <alignment horizontal="center"/>
    </xf>
    <xf numFmtId="166" fontId="5" fillId="2" borderId="4" xfId="0" applyNumberFormat="1" applyFont="1" applyFill="1" applyBorder="1" applyAlignment="1" applyProtection="1">
      <alignment horizontal="center"/>
    </xf>
    <xf numFmtId="166" fontId="5" fillId="2" borderId="0" xfId="0" applyNumberFormat="1" applyFont="1" applyFill="1" applyBorder="1" applyAlignment="1" applyProtection="1">
      <alignment horizontal="center"/>
    </xf>
    <xf numFmtId="166" fontId="5" fillId="2" borderId="5" xfId="0" applyNumberFormat="1" applyFont="1" applyFill="1" applyBorder="1" applyAlignment="1" applyProtection="1">
      <alignment horizontal="center"/>
    </xf>
    <xf numFmtId="166" fontId="5" fillId="2" borderId="2" xfId="0" applyNumberFormat="1" applyFont="1" applyFill="1" applyBorder="1" applyAlignment="1" applyProtection="1">
      <alignment horizontal="center"/>
    </xf>
    <xf numFmtId="2" fontId="2" fillId="2" borderId="12" xfId="0" applyNumberFormat="1" applyFont="1" applyFill="1" applyBorder="1" applyAlignment="1" applyProtection="1">
      <alignment horizontal="center"/>
    </xf>
    <xf numFmtId="1" fontId="38" fillId="0" borderId="0" xfId="0" applyNumberFormat="1" applyFont="1" applyFill="1" applyBorder="1" applyAlignment="1" applyProtection="1">
      <alignment horizontal="left"/>
    </xf>
    <xf numFmtId="2" fontId="128" fillId="10" borderId="68" xfId="0" quotePrefix="1" applyNumberFormat="1" applyFont="1" applyFill="1" applyBorder="1" applyAlignment="1" applyProtection="1">
      <alignment horizontal="center"/>
    </xf>
    <xf numFmtId="2" fontId="76" fillId="10" borderId="61" xfId="0" applyNumberFormat="1" applyFont="1" applyFill="1" applyBorder="1" applyAlignment="1" applyProtection="1">
      <alignment horizontal="center"/>
    </xf>
    <xf numFmtId="2" fontId="115" fillId="3" borderId="74" xfId="0" applyNumberFormat="1" applyFont="1" applyFill="1" applyBorder="1" applyAlignment="1" applyProtection="1">
      <alignment horizontal="center" vertical="center"/>
    </xf>
    <xf numFmtId="2" fontId="115" fillId="3" borderId="47" xfId="0" applyNumberFormat="1" applyFont="1" applyFill="1" applyBorder="1" applyAlignment="1" applyProtection="1">
      <alignment horizontal="center" vertical="center"/>
    </xf>
    <xf numFmtId="2" fontId="2" fillId="2" borderId="11" xfId="0" applyNumberFormat="1" applyFont="1" applyFill="1" applyBorder="1" applyAlignment="1" applyProtection="1">
      <alignment horizontal="center"/>
    </xf>
    <xf numFmtId="166" fontId="5" fillId="2" borderId="10" xfId="0" applyNumberFormat="1" applyFont="1" applyFill="1" applyBorder="1" applyAlignment="1" applyProtection="1">
      <alignment horizontal="center"/>
    </xf>
    <xf numFmtId="166" fontId="5" fillId="2" borderId="11" xfId="0" applyNumberFormat="1" applyFont="1" applyFill="1" applyBorder="1" applyAlignment="1" applyProtection="1">
      <alignment horizontal="center"/>
    </xf>
    <xf numFmtId="166" fontId="5" fillId="2" borderId="12" xfId="0" applyNumberFormat="1" applyFont="1" applyFill="1" applyBorder="1" applyAlignment="1" applyProtection="1">
      <alignment horizontal="center"/>
    </xf>
    <xf numFmtId="2" fontId="2" fillId="2" borderId="10" xfId="0" applyNumberFormat="1" applyFont="1" applyFill="1" applyBorder="1" applyAlignment="1" applyProtection="1">
      <alignment horizontal="center"/>
    </xf>
    <xf numFmtId="2" fontId="2" fillId="2" borderId="5" xfId="0" applyNumberFormat="1" applyFont="1" applyFill="1" applyBorder="1" applyAlignment="1" applyProtection="1">
      <alignment horizontal="center"/>
    </xf>
    <xf numFmtId="2" fontId="2" fillId="2" borderId="1" xfId="0" applyNumberFormat="1" applyFont="1" applyFill="1" applyBorder="1" applyAlignment="1" applyProtection="1">
      <alignment horizontal="center"/>
    </xf>
    <xf numFmtId="2" fontId="0" fillId="0" borderId="5" xfId="0" applyNumberFormat="1" applyFont="1" applyFill="1" applyBorder="1" applyAlignment="1" applyProtection="1">
      <alignment horizontal="center"/>
    </xf>
    <xf numFmtId="166" fontId="5" fillId="2" borderId="3" xfId="0" applyNumberFormat="1" applyFont="1" applyFill="1" applyBorder="1" applyAlignment="1" applyProtection="1">
      <alignment horizontal="center"/>
    </xf>
    <xf numFmtId="2" fontId="88" fillId="5" borderId="0" xfId="1" applyNumberFormat="1" applyFont="1" applyFill="1" applyAlignment="1" applyProtection="1">
      <alignment horizontal="center" vertical="center"/>
    </xf>
    <xf numFmtId="0" fontId="88" fillId="5" borderId="0" xfId="1" applyFont="1" applyFill="1" applyAlignment="1" applyProtection="1">
      <alignment horizontal="center" vertical="center"/>
    </xf>
    <xf numFmtId="0" fontId="88" fillId="5" borderId="27" xfId="1" applyFont="1" applyFill="1" applyBorder="1" applyAlignment="1" applyProtection="1">
      <alignment horizontal="center" vertical="center"/>
    </xf>
    <xf numFmtId="0" fontId="33" fillId="2" borderId="31" xfId="0" quotePrefix="1" applyFont="1" applyFill="1" applyBorder="1" applyAlignment="1" applyProtection="1">
      <alignment horizontal="left" indent="1"/>
    </xf>
    <xf numFmtId="0" fontId="33" fillId="2" borderId="0" xfId="0" quotePrefix="1" applyFont="1" applyFill="1" applyBorder="1" applyAlignment="1" applyProtection="1">
      <alignment horizontal="left" indent="1"/>
    </xf>
    <xf numFmtId="0" fontId="33" fillId="2" borderId="27" xfId="0" quotePrefix="1" applyFont="1" applyFill="1" applyBorder="1" applyAlignment="1" applyProtection="1">
      <alignment horizontal="left" indent="1"/>
    </xf>
    <xf numFmtId="0" fontId="33" fillId="2" borderId="31" xfId="0" applyFont="1" applyFill="1" applyBorder="1" applyAlignment="1" applyProtection="1">
      <alignment horizontal="left" indent="1"/>
    </xf>
    <xf numFmtId="0" fontId="33" fillId="2" borderId="0" xfId="0" applyFont="1" applyFill="1" applyBorder="1" applyAlignment="1" applyProtection="1">
      <alignment horizontal="left" indent="1"/>
    </xf>
    <xf numFmtId="0" fontId="33" fillId="2" borderId="27" xfId="0" applyFont="1" applyFill="1" applyBorder="1" applyAlignment="1" applyProtection="1">
      <alignment horizontal="left" indent="1"/>
    </xf>
    <xf numFmtId="0" fontId="62" fillId="2" borderId="0" xfId="0" applyFont="1" applyFill="1" applyBorder="1" applyAlignment="1" applyProtection="1">
      <alignment horizontal="left" vertical="top" wrapText="1" indent="1"/>
    </xf>
    <xf numFmtId="0" fontId="62" fillId="2" borderId="27" xfId="0" applyFont="1" applyFill="1" applyBorder="1" applyAlignment="1" applyProtection="1">
      <alignment horizontal="left" vertical="top" wrapText="1" indent="1"/>
    </xf>
    <xf numFmtId="0" fontId="62" fillId="2" borderId="31" xfId="0" applyFont="1" applyFill="1" applyBorder="1" applyAlignment="1" applyProtection="1">
      <alignment horizontal="left" vertical="top" wrapText="1" indent="1"/>
    </xf>
    <xf numFmtId="2" fontId="12" fillId="2" borderId="29" xfId="0" applyNumberFormat="1" applyFont="1" applyFill="1" applyBorder="1" applyAlignment="1" applyProtection="1">
      <alignment horizontal="center"/>
    </xf>
    <xf numFmtId="2" fontId="12" fillId="2" borderId="30" xfId="0" applyNumberFormat="1" applyFont="1" applyFill="1" applyBorder="1" applyAlignment="1" applyProtection="1">
      <alignment horizontal="center"/>
    </xf>
    <xf numFmtId="167" fontId="23" fillId="2" borderId="7" xfId="0" applyNumberFormat="1" applyFont="1" applyFill="1" applyBorder="1" applyAlignment="1" applyProtection="1">
      <alignment horizontal="center"/>
    </xf>
    <xf numFmtId="167" fontId="23" fillId="2" borderId="9" xfId="0" applyNumberFormat="1" applyFont="1" applyFill="1" applyBorder="1" applyAlignment="1" applyProtection="1">
      <alignment horizontal="center"/>
    </xf>
    <xf numFmtId="2" fontId="2" fillId="2" borderId="7" xfId="0" applyNumberFormat="1" applyFont="1" applyFill="1" applyBorder="1" applyAlignment="1" applyProtection="1">
      <alignment horizontal="center" vertical="top"/>
    </xf>
    <xf numFmtId="2" fontId="2" fillId="2" borderId="9" xfId="0" applyNumberFormat="1" applyFont="1" applyFill="1" applyBorder="1" applyAlignment="1" applyProtection="1">
      <alignment horizontal="center" vertical="top"/>
    </xf>
    <xf numFmtId="2" fontId="2" fillId="2" borderId="7" xfId="0" applyNumberFormat="1" applyFont="1" applyFill="1" applyBorder="1" applyAlignment="1" applyProtection="1">
      <alignment horizontal="center"/>
    </xf>
    <xf numFmtId="2" fontId="2" fillId="2" borderId="8"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2" fontId="4" fillId="0" borderId="4" xfId="0" applyNumberFormat="1" applyFont="1" applyFill="1" applyBorder="1" applyAlignment="1" applyProtection="1">
      <alignment horizontal="center"/>
    </xf>
    <xf numFmtId="2" fontId="4" fillId="0" borderId="3" xfId="0" applyNumberFormat="1" applyFont="1" applyFill="1" applyBorder="1" applyAlignment="1" applyProtection="1">
      <alignment horizontal="center"/>
    </xf>
    <xf numFmtId="0" fontId="96" fillId="2" borderId="0" xfId="1" applyFont="1" applyFill="1" applyAlignment="1" applyProtection="1">
      <alignment horizontal="right" vertical="top" wrapText="1"/>
    </xf>
    <xf numFmtId="3" fontId="8" fillId="0" borderId="4" xfId="0" applyNumberFormat="1" applyFont="1" applyFill="1" applyBorder="1" applyAlignment="1" applyProtection="1">
      <alignment horizontal="center"/>
    </xf>
    <xf numFmtId="3" fontId="8" fillId="0" borderId="3" xfId="0" applyNumberFormat="1" applyFont="1" applyFill="1" applyBorder="1" applyAlignment="1" applyProtection="1">
      <alignment horizontal="center"/>
    </xf>
    <xf numFmtId="167" fontId="23" fillId="2" borderId="10" xfId="0" applyNumberFormat="1" applyFont="1" applyFill="1" applyBorder="1" applyAlignment="1" applyProtection="1">
      <alignment horizontal="center"/>
    </xf>
    <xf numFmtId="167" fontId="23" fillId="2" borderId="11" xfId="0" applyNumberFormat="1" applyFont="1" applyFill="1" applyBorder="1" applyAlignment="1" applyProtection="1">
      <alignment horizontal="center"/>
    </xf>
    <xf numFmtId="0" fontId="51" fillId="2" borderId="31" xfId="0" applyFont="1" applyFill="1" applyBorder="1" applyAlignment="1" applyProtection="1">
      <alignment horizontal="left" indent="1"/>
    </xf>
    <xf numFmtId="0" fontId="51" fillId="2" borderId="0" xfId="0" applyFont="1" applyFill="1" applyBorder="1" applyAlignment="1" applyProtection="1">
      <alignment horizontal="left" indent="1"/>
    </xf>
    <xf numFmtId="0" fontId="51" fillId="2" borderId="27" xfId="0" applyFont="1" applyFill="1" applyBorder="1" applyAlignment="1" applyProtection="1">
      <alignment horizontal="left" indent="1"/>
    </xf>
    <xf numFmtId="0" fontId="62" fillId="2" borderId="31" xfId="0" quotePrefix="1" applyFont="1" applyFill="1" applyBorder="1" applyAlignment="1" applyProtection="1">
      <alignment horizontal="left" indent="1"/>
    </xf>
    <xf numFmtId="166" fontId="8" fillId="0" borderId="4" xfId="0" applyNumberFormat="1" applyFont="1" applyFill="1" applyBorder="1" applyAlignment="1" applyProtection="1">
      <alignment horizontal="center"/>
    </xf>
    <xf numFmtId="166" fontId="8" fillId="0" borderId="3" xfId="0" applyNumberFormat="1" applyFont="1" applyFill="1" applyBorder="1" applyAlignment="1" applyProtection="1">
      <alignment horizontal="center"/>
    </xf>
    <xf numFmtId="2" fontId="31" fillId="2" borderId="10" xfId="0" applyNumberFormat="1" applyFont="1" applyFill="1" applyBorder="1" applyAlignment="1" applyProtection="1">
      <alignment horizontal="center"/>
    </xf>
    <xf numFmtId="2" fontId="31" fillId="2" borderId="12" xfId="0" applyNumberFormat="1" applyFont="1" applyFill="1" applyBorder="1" applyAlignment="1" applyProtection="1">
      <alignment horizontal="center"/>
    </xf>
    <xf numFmtId="2" fontId="31" fillId="2" borderId="11" xfId="0" applyNumberFormat="1" applyFont="1" applyFill="1" applyBorder="1" applyAlignment="1" applyProtection="1">
      <alignment horizontal="center"/>
    </xf>
    <xf numFmtId="166" fontId="5" fillId="2" borderId="1" xfId="0" applyNumberFormat="1" applyFont="1" applyFill="1" applyBorder="1" applyAlignment="1" applyProtection="1">
      <alignment horizontal="center"/>
    </xf>
    <xf numFmtId="2" fontId="2" fillId="0" borderId="10" xfId="0" applyNumberFormat="1" applyFont="1" applyFill="1" applyBorder="1" applyAlignment="1" applyProtection="1">
      <alignment horizontal="center"/>
    </xf>
    <xf numFmtId="2" fontId="2" fillId="0" borderId="12" xfId="0" applyNumberFormat="1" applyFont="1" applyFill="1" applyBorder="1" applyAlignment="1" applyProtection="1">
      <alignment horizontal="center"/>
    </xf>
    <xf numFmtId="2" fontId="30" fillId="2" borderId="7" xfId="0" applyNumberFormat="1" applyFont="1" applyFill="1" applyBorder="1" applyAlignment="1" applyProtection="1">
      <alignment horizontal="left"/>
    </xf>
    <xf numFmtId="2" fontId="30" fillId="2" borderId="8" xfId="0" applyNumberFormat="1" applyFont="1" applyFill="1" applyBorder="1" applyAlignment="1" applyProtection="1">
      <alignment horizontal="left"/>
    </xf>
    <xf numFmtId="166" fontId="8" fillId="2" borderId="4" xfId="0" applyNumberFormat="1" applyFont="1" applyFill="1" applyBorder="1" applyAlignment="1" applyProtection="1">
      <alignment horizontal="center"/>
    </xf>
    <xf numFmtId="166" fontId="8" fillId="2" borderId="3" xfId="0" applyNumberFormat="1" applyFont="1" applyFill="1" applyBorder="1" applyAlignment="1" applyProtection="1">
      <alignment horizontal="center"/>
    </xf>
    <xf numFmtId="166" fontId="8" fillId="2" borderId="5" xfId="0" applyNumberFormat="1" applyFont="1" applyFill="1" applyBorder="1" applyAlignment="1" applyProtection="1">
      <alignment horizontal="center"/>
    </xf>
    <xf numFmtId="166" fontId="8" fillId="2" borderId="2" xfId="0" applyNumberFormat="1" applyFont="1" applyFill="1" applyBorder="1" applyAlignment="1" applyProtection="1">
      <alignment horizontal="center"/>
    </xf>
    <xf numFmtId="2" fontId="65" fillId="2" borderId="7" xfId="0" applyNumberFormat="1" applyFont="1" applyFill="1" applyBorder="1" applyAlignment="1" applyProtection="1">
      <alignment horizontal="center"/>
    </xf>
    <xf numFmtId="2" fontId="65" fillId="2" borderId="9" xfId="0" applyNumberFormat="1" applyFont="1" applyFill="1" applyBorder="1" applyAlignment="1" applyProtection="1">
      <alignment horizontal="center"/>
    </xf>
    <xf numFmtId="2" fontId="77" fillId="2" borderId="57" xfId="0" applyNumberFormat="1" applyFont="1" applyFill="1" applyBorder="1" applyAlignment="1" applyProtection="1">
      <alignment horizontal="left" vertical="top" wrapText="1" indent="2"/>
    </xf>
    <xf numFmtId="2" fontId="77" fillId="2" borderId="0" xfId="0" applyNumberFormat="1" applyFont="1" applyFill="1" applyBorder="1" applyAlignment="1" applyProtection="1">
      <alignment horizontal="left" vertical="top" wrapText="1" indent="2"/>
    </xf>
    <xf numFmtId="2" fontId="77" fillId="2" borderId="27" xfId="0" applyNumberFormat="1" applyFont="1" applyFill="1" applyBorder="1" applyAlignment="1" applyProtection="1">
      <alignment horizontal="left" vertical="top" wrapText="1" indent="2"/>
    </xf>
    <xf numFmtId="4" fontId="22" fillId="2" borderId="4" xfId="0" applyNumberFormat="1" applyFont="1" applyFill="1" applyBorder="1" applyAlignment="1" applyProtection="1">
      <alignment horizontal="center"/>
    </xf>
    <xf numFmtId="4" fontId="22" fillId="2" borderId="3" xfId="0" applyNumberFormat="1" applyFont="1" applyFill="1" applyBorder="1" applyAlignment="1" applyProtection="1">
      <alignment horizontal="center"/>
    </xf>
    <xf numFmtId="167" fontId="23" fillId="2" borderId="4" xfId="0" applyNumberFormat="1" applyFont="1" applyFill="1" applyBorder="1" applyAlignment="1" applyProtection="1">
      <alignment horizontal="center"/>
    </xf>
    <xf numFmtId="167" fontId="23" fillId="2" borderId="3" xfId="0" applyNumberFormat="1" applyFont="1" applyFill="1" applyBorder="1" applyAlignment="1" applyProtection="1">
      <alignment horizontal="center"/>
    </xf>
    <xf numFmtId="2" fontId="0" fillId="0" borderId="12" xfId="0" applyNumberFormat="1" applyFill="1" applyBorder="1" applyAlignment="1" applyProtection="1">
      <alignment horizontal="center"/>
    </xf>
    <xf numFmtId="2" fontId="26" fillId="3" borderId="41" xfId="0" applyNumberFormat="1" applyFont="1" applyFill="1" applyBorder="1" applyAlignment="1" applyProtection="1">
      <alignment horizontal="left" vertical="center"/>
    </xf>
    <xf numFmtId="2" fontId="26" fillId="3" borderId="69" xfId="0" applyNumberFormat="1" applyFont="1" applyFill="1" applyBorder="1" applyAlignment="1" applyProtection="1">
      <alignment horizontal="left" vertical="center"/>
    </xf>
    <xf numFmtId="2" fontId="26" fillId="3" borderId="40" xfId="0" applyNumberFormat="1" applyFont="1" applyFill="1" applyBorder="1" applyAlignment="1" applyProtection="1">
      <alignment horizontal="left" vertical="center"/>
    </xf>
    <xf numFmtId="2" fontId="8" fillId="2" borderId="1" xfId="0" applyNumberFormat="1" applyFont="1" applyFill="1" applyBorder="1" applyAlignment="1" applyProtection="1">
      <alignment horizontal="center"/>
    </xf>
    <xf numFmtId="2" fontId="8" fillId="2" borderId="2" xfId="0" applyNumberFormat="1" applyFont="1" applyFill="1" applyBorder="1" applyAlignment="1" applyProtection="1">
      <alignment horizontal="center"/>
    </xf>
    <xf numFmtId="2" fontId="2" fillId="2" borderId="5" xfId="0" applyNumberFormat="1" applyFont="1" applyFill="1" applyBorder="1" applyAlignment="1" applyProtection="1">
      <alignment horizontal="right"/>
    </xf>
    <xf numFmtId="2" fontId="2" fillId="2" borderId="1" xfId="0" applyNumberFormat="1" applyFont="1" applyFill="1" applyBorder="1" applyAlignment="1" applyProtection="1">
      <alignment horizontal="right"/>
    </xf>
    <xf numFmtId="2" fontId="30" fillId="2" borderId="0" xfId="0" applyNumberFormat="1" applyFont="1" applyFill="1" applyBorder="1" applyAlignment="1" applyProtection="1">
      <alignment horizontal="right" vertical="top"/>
    </xf>
    <xf numFmtId="2" fontId="33" fillId="2" borderId="4" xfId="0" applyNumberFormat="1" applyFont="1" applyFill="1" applyBorder="1" applyAlignment="1" applyProtection="1">
      <alignment horizontal="left" vertical="center"/>
    </xf>
    <xf numFmtId="2" fontId="33" fillId="2" borderId="0" xfId="0" applyNumberFormat="1" applyFont="1" applyFill="1" applyBorder="1" applyAlignment="1" applyProtection="1">
      <alignment horizontal="left" vertical="center"/>
    </xf>
    <xf numFmtId="2" fontId="33" fillId="2" borderId="3" xfId="0" applyNumberFormat="1" applyFont="1" applyFill="1" applyBorder="1" applyAlignment="1" applyProtection="1">
      <alignment horizontal="left" vertical="center"/>
    </xf>
    <xf numFmtId="2" fontId="67" fillId="2" borderId="7" xfId="0" applyNumberFormat="1" applyFont="1" applyFill="1" applyBorder="1" applyAlignment="1" applyProtection="1">
      <alignment horizontal="center"/>
    </xf>
    <xf numFmtId="2" fontId="67" fillId="2" borderId="8" xfId="0" applyNumberFormat="1" applyFont="1" applyFill="1" applyBorder="1" applyAlignment="1" applyProtection="1">
      <alignment horizontal="center"/>
    </xf>
    <xf numFmtId="2" fontId="67" fillId="2" borderId="9" xfId="0" applyNumberFormat="1" applyFont="1" applyFill="1" applyBorder="1" applyAlignment="1" applyProtection="1">
      <alignment horizontal="center"/>
    </xf>
    <xf numFmtId="1" fontId="49" fillId="2" borderId="12" xfId="0" applyNumberFormat="1" applyFont="1" applyFill="1" applyBorder="1" applyAlignment="1" applyProtection="1">
      <alignment horizontal="center"/>
    </xf>
    <xf numFmtId="166" fontId="48" fillId="2" borderId="12" xfId="0" applyNumberFormat="1" applyFont="1" applyFill="1" applyBorder="1" applyAlignment="1" applyProtection="1">
      <alignment horizontal="center"/>
    </xf>
    <xf numFmtId="2" fontId="74" fillId="2" borderId="1" xfId="0" applyNumberFormat="1" applyFont="1" applyFill="1" applyBorder="1" applyAlignment="1" applyProtection="1">
      <alignment horizontal="left" vertical="top"/>
    </xf>
    <xf numFmtId="2" fontId="2" fillId="0" borderId="5" xfId="0" applyNumberFormat="1" applyFont="1" applyFill="1" applyBorder="1" applyAlignment="1" applyProtection="1">
      <alignment horizontal="center"/>
    </xf>
    <xf numFmtId="2" fontId="2" fillId="0" borderId="1" xfId="0" applyNumberFormat="1" applyFont="1" applyFill="1" applyBorder="1" applyAlignment="1" applyProtection="1">
      <alignment horizontal="center"/>
    </xf>
    <xf numFmtId="2" fontId="33" fillId="2" borderId="4" xfId="0" applyNumberFormat="1" applyFont="1" applyFill="1" applyBorder="1" applyAlignment="1" applyProtection="1">
      <alignment horizontal="left" vertical="top"/>
    </xf>
    <xf numFmtId="2" fontId="33" fillId="2" borderId="0" xfId="0" applyNumberFormat="1" applyFont="1" applyFill="1" applyBorder="1" applyAlignment="1" applyProtection="1">
      <alignment horizontal="left" vertical="top"/>
    </xf>
    <xf numFmtId="2" fontId="33" fillId="2" borderId="3" xfId="0" applyNumberFormat="1" applyFont="1" applyFill="1" applyBorder="1" applyAlignment="1" applyProtection="1">
      <alignment horizontal="left" vertical="top"/>
    </xf>
    <xf numFmtId="4" fontId="8" fillId="0" borderId="5" xfId="0" applyNumberFormat="1" applyFont="1" applyFill="1" applyBorder="1" applyAlignment="1" applyProtection="1">
      <alignment horizontal="center"/>
    </xf>
    <xf numFmtId="4" fontId="8" fillId="0" borderId="2" xfId="0" applyNumberFormat="1" applyFont="1" applyFill="1" applyBorder="1" applyAlignment="1" applyProtection="1">
      <alignment horizontal="center"/>
    </xf>
    <xf numFmtId="2" fontId="2" fillId="2" borderId="5" xfId="0" applyNumberFormat="1" applyFont="1" applyFill="1" applyBorder="1" applyAlignment="1" applyProtection="1">
      <alignment horizontal="center" vertical="top"/>
    </xf>
    <xf numFmtId="2" fontId="2" fillId="2" borderId="2" xfId="0" applyNumberFormat="1" applyFont="1" applyFill="1" applyBorder="1" applyAlignment="1" applyProtection="1">
      <alignment horizontal="center" vertical="top"/>
    </xf>
    <xf numFmtId="167" fontId="8" fillId="2" borderId="4" xfId="0" applyNumberFormat="1" applyFont="1" applyFill="1" applyBorder="1" applyAlignment="1" applyProtection="1">
      <alignment horizontal="center"/>
    </xf>
    <xf numFmtId="167" fontId="8" fillId="2" borderId="3" xfId="0" applyNumberFormat="1" applyFont="1" applyFill="1" applyBorder="1" applyAlignment="1" applyProtection="1">
      <alignment horizontal="center"/>
    </xf>
    <xf numFmtId="3" fontId="8" fillId="2" borderId="4" xfId="0" applyNumberFormat="1" applyFont="1" applyFill="1" applyBorder="1" applyAlignment="1" applyProtection="1">
      <alignment horizontal="center"/>
    </xf>
    <xf numFmtId="3" fontId="8" fillId="2" borderId="3" xfId="0" applyNumberFormat="1" applyFont="1" applyFill="1" applyBorder="1" applyAlignment="1" applyProtection="1">
      <alignment horizontal="center"/>
    </xf>
    <xf numFmtId="3" fontId="8" fillId="2" borderId="10" xfId="0" applyNumberFormat="1" applyFont="1" applyFill="1" applyBorder="1" applyAlignment="1" applyProtection="1">
      <alignment horizontal="center"/>
    </xf>
    <xf numFmtId="3" fontId="8" fillId="2" borderId="11" xfId="0" applyNumberFormat="1" applyFont="1" applyFill="1" applyBorder="1" applyAlignment="1" applyProtection="1">
      <alignment horizontal="center"/>
    </xf>
    <xf numFmtId="166" fontId="8" fillId="0" borderId="5" xfId="0" applyNumberFormat="1" applyFont="1" applyFill="1" applyBorder="1" applyAlignment="1" applyProtection="1">
      <alignment horizontal="center"/>
    </xf>
    <xf numFmtId="166" fontId="8" fillId="0" borderId="2" xfId="0" applyNumberFormat="1" applyFont="1" applyFill="1" applyBorder="1" applyAlignment="1" applyProtection="1">
      <alignment horizontal="center"/>
    </xf>
    <xf numFmtId="4" fontId="22" fillId="2" borderId="5" xfId="0" applyNumberFormat="1" applyFont="1" applyFill="1" applyBorder="1" applyAlignment="1" applyProtection="1">
      <alignment horizontal="center"/>
    </xf>
    <xf numFmtId="4" fontId="22" fillId="2" borderId="2" xfId="0" applyNumberFormat="1" applyFont="1" applyFill="1" applyBorder="1" applyAlignment="1" applyProtection="1">
      <alignment horizontal="center"/>
    </xf>
    <xf numFmtId="2" fontId="87" fillId="5" borderId="0" xfId="0" applyNumberFormat="1" applyFont="1" applyFill="1" applyAlignment="1" applyProtection="1">
      <alignment horizontal="right" vertical="center"/>
    </xf>
    <xf numFmtId="2" fontId="12" fillId="2" borderId="35" xfId="0" applyNumberFormat="1" applyFont="1" applyFill="1" applyBorder="1" applyAlignment="1" applyProtection="1">
      <alignment horizontal="right"/>
    </xf>
    <xf numFmtId="2" fontId="12" fillId="2" borderId="29" xfId="0" applyNumberFormat="1" applyFont="1" applyFill="1" applyBorder="1" applyAlignment="1" applyProtection="1">
      <alignment horizontal="right"/>
    </xf>
    <xf numFmtId="2" fontId="73" fillId="2" borderId="28" xfId="0" applyNumberFormat="1" applyFont="1" applyFill="1" applyBorder="1" applyAlignment="1" applyProtection="1">
      <alignment horizontal="right"/>
    </xf>
    <xf numFmtId="2" fontId="4" fillId="0" borderId="5" xfId="0" applyNumberFormat="1" applyFont="1" applyFill="1" applyBorder="1" applyAlignment="1" applyProtection="1">
      <alignment horizontal="center"/>
    </xf>
    <xf numFmtId="2" fontId="4" fillId="0" borderId="2" xfId="0" applyNumberFormat="1" applyFont="1" applyFill="1" applyBorder="1" applyAlignment="1" applyProtection="1">
      <alignment horizontal="center"/>
    </xf>
    <xf numFmtId="167" fontId="8" fillId="0" borderId="4" xfId="0" applyNumberFormat="1" applyFont="1" applyFill="1" applyBorder="1" applyAlignment="1" applyProtection="1">
      <alignment horizontal="center"/>
    </xf>
    <xf numFmtId="167" fontId="8" fillId="0" borderId="3" xfId="0" applyNumberFormat="1" applyFont="1" applyFill="1" applyBorder="1" applyAlignment="1" applyProtection="1">
      <alignment horizontal="center"/>
    </xf>
    <xf numFmtId="2" fontId="80" fillId="4" borderId="0" xfId="0" applyNumberFormat="1" applyFont="1" applyFill="1" applyAlignment="1" applyProtection="1">
      <alignment horizontal="center" vertical="center"/>
    </xf>
    <xf numFmtId="2" fontId="69" fillId="2" borderId="0" xfId="0" applyNumberFormat="1" applyFont="1" applyFill="1" applyAlignment="1" applyProtection="1">
      <alignment horizontal="center"/>
    </xf>
    <xf numFmtId="2" fontId="30" fillId="2" borderId="0" xfId="0" applyNumberFormat="1" applyFont="1" applyFill="1" applyBorder="1" applyAlignment="1" applyProtection="1">
      <alignment horizontal="center"/>
    </xf>
    <xf numFmtId="2" fontId="30" fillId="2" borderId="0" xfId="0" applyNumberFormat="1" applyFont="1" applyFill="1" applyAlignment="1" applyProtection="1">
      <alignment horizontal="center" vertical="top" wrapText="1"/>
    </xf>
    <xf numFmtId="2" fontId="30" fillId="2" borderId="0" xfId="0" applyNumberFormat="1" applyFont="1" applyFill="1" applyAlignment="1" applyProtection="1">
      <alignment horizontal="center" vertical="top"/>
    </xf>
    <xf numFmtId="2" fontId="8" fillId="0" borderId="1" xfId="0" applyNumberFormat="1" applyFont="1" applyFill="1" applyBorder="1" applyAlignment="1" applyProtection="1">
      <alignment horizontal="left"/>
    </xf>
    <xf numFmtId="2" fontId="8" fillId="0" borderId="2" xfId="0" applyNumberFormat="1" applyFont="1" applyFill="1" applyBorder="1" applyAlignment="1" applyProtection="1">
      <alignment horizontal="left"/>
    </xf>
    <xf numFmtId="1" fontId="1" fillId="2" borderId="0" xfId="0" applyNumberFormat="1" applyFont="1" applyFill="1" applyAlignment="1" applyProtection="1">
      <alignment horizontal="left"/>
    </xf>
    <xf numFmtId="1" fontId="2" fillId="2" borderId="0" xfId="0" applyNumberFormat="1" applyFont="1" applyFill="1" applyAlignment="1" applyProtection="1">
      <alignment horizontal="left"/>
    </xf>
    <xf numFmtId="2" fontId="8" fillId="2" borderId="8" xfId="0" applyNumberFormat="1" applyFont="1" applyFill="1" applyBorder="1" applyAlignment="1" applyProtection="1">
      <alignment horizontal="center"/>
    </xf>
    <xf numFmtId="2" fontId="8" fillId="2" borderId="9" xfId="0" applyNumberFormat="1" applyFont="1" applyFill="1" applyBorder="1" applyAlignment="1" applyProtection="1">
      <alignment horizontal="center"/>
    </xf>
    <xf numFmtId="3" fontId="8" fillId="2" borderId="5" xfId="0" applyNumberFormat="1" applyFont="1" applyFill="1" applyBorder="1" applyAlignment="1" applyProtection="1">
      <alignment horizontal="center"/>
    </xf>
    <xf numFmtId="3" fontId="8" fillId="2" borderId="2" xfId="0" applyNumberFormat="1" applyFont="1" applyFill="1" applyBorder="1" applyAlignment="1" applyProtection="1">
      <alignment horizontal="center"/>
    </xf>
    <xf numFmtId="167" fontId="8" fillId="0" borderId="5" xfId="0" applyNumberFormat="1" applyFont="1" applyFill="1" applyBorder="1" applyAlignment="1" applyProtection="1">
      <alignment horizontal="center"/>
    </xf>
    <xf numFmtId="2" fontId="8" fillId="0" borderId="0" xfId="0" applyNumberFormat="1" applyFont="1" applyFill="1" applyBorder="1" applyAlignment="1" applyProtection="1">
      <alignment horizontal="left"/>
    </xf>
    <xf numFmtId="2" fontId="8" fillId="0" borderId="3" xfId="0" applyNumberFormat="1" applyFont="1" applyFill="1" applyBorder="1" applyAlignment="1" applyProtection="1">
      <alignment horizontal="left"/>
    </xf>
    <xf numFmtId="167" fontId="8" fillId="2" borderId="10" xfId="0" applyNumberFormat="1" applyFont="1" applyFill="1" applyBorder="1" applyAlignment="1" applyProtection="1">
      <alignment horizontal="center"/>
    </xf>
    <xf numFmtId="167" fontId="8" fillId="2" borderId="11" xfId="0" applyNumberFormat="1" applyFont="1" applyFill="1" applyBorder="1" applyAlignment="1" applyProtection="1">
      <alignment horizontal="center"/>
    </xf>
    <xf numFmtId="2" fontId="0" fillId="0" borderId="4" xfId="0" applyNumberFormat="1" applyFill="1" applyBorder="1" applyAlignment="1" applyProtection="1">
      <alignment horizontal="center"/>
    </xf>
    <xf numFmtId="1" fontId="34" fillId="2" borderId="1" xfId="0" applyNumberFormat="1" applyFont="1" applyFill="1" applyBorder="1" applyAlignment="1" applyProtection="1">
      <alignment horizontal="left" vertical="center"/>
    </xf>
    <xf numFmtId="2" fontId="2" fillId="2" borderId="1" xfId="0" applyNumberFormat="1" applyFont="1" applyFill="1" applyBorder="1" applyAlignment="1" applyProtection="1">
      <alignment horizontal="center" vertical="top"/>
    </xf>
    <xf numFmtId="2" fontId="8" fillId="0" borderId="10" xfId="0" applyNumberFormat="1" applyFont="1" applyFill="1" applyBorder="1" applyAlignment="1" applyProtection="1">
      <alignment horizontal="center"/>
    </xf>
    <xf numFmtId="2" fontId="8" fillId="0" borderId="12" xfId="0" applyNumberFormat="1" applyFont="1" applyFill="1" applyBorder="1" applyAlignment="1" applyProtection="1">
      <alignment horizontal="center"/>
    </xf>
    <xf numFmtId="2" fontId="8" fillId="0" borderId="5" xfId="0" applyNumberFormat="1" applyFont="1" applyFill="1" applyBorder="1" applyAlignment="1" applyProtection="1">
      <alignment horizontal="center"/>
    </xf>
    <xf numFmtId="2" fontId="8" fillId="0" borderId="1" xfId="0" applyNumberFormat="1" applyFont="1" applyFill="1" applyBorder="1" applyAlignment="1" applyProtection="1">
      <alignment horizontal="center"/>
    </xf>
    <xf numFmtId="166" fontId="49" fillId="2" borderId="12" xfId="0" applyNumberFormat="1" applyFont="1" applyFill="1" applyBorder="1" applyAlignment="1" applyProtection="1">
      <alignment horizontal="center"/>
    </xf>
    <xf numFmtId="4" fontId="8" fillId="0" borderId="4" xfId="0" applyNumberFormat="1" applyFont="1" applyFill="1" applyBorder="1" applyAlignment="1" applyProtection="1">
      <alignment horizontal="center"/>
    </xf>
    <xf numFmtId="4" fontId="8" fillId="0" borderId="3" xfId="0" applyNumberFormat="1" applyFont="1" applyFill="1" applyBorder="1" applyAlignment="1" applyProtection="1">
      <alignment horizontal="center"/>
    </xf>
    <xf numFmtId="2" fontId="50" fillId="2" borderId="0" xfId="0" applyNumberFormat="1" applyFont="1" applyFill="1" applyBorder="1" applyAlignment="1" applyProtection="1">
      <alignment horizontal="left" vertical="top"/>
    </xf>
    <xf numFmtId="4" fontId="8" fillId="2" borderId="5" xfId="0" applyNumberFormat="1" applyFont="1" applyFill="1" applyBorder="1" applyAlignment="1" applyProtection="1">
      <alignment horizontal="center"/>
    </xf>
    <xf numFmtId="4" fontId="8" fillId="2" borderId="2" xfId="0" applyNumberFormat="1" applyFont="1" applyFill="1" applyBorder="1" applyAlignment="1" applyProtection="1">
      <alignment horizontal="center"/>
    </xf>
    <xf numFmtId="4" fontId="8" fillId="2" borderId="4"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166" fontId="49" fillId="2" borderId="0" xfId="0" quotePrefix="1" applyNumberFormat="1" applyFont="1" applyFill="1" applyBorder="1" applyAlignment="1" applyProtection="1">
      <alignment horizontal="left" vertical="top"/>
    </xf>
    <xf numFmtId="167" fontId="23" fillId="2" borderId="5" xfId="0" applyNumberFormat="1" applyFont="1" applyFill="1" applyBorder="1" applyAlignment="1" applyProtection="1">
      <alignment horizontal="center"/>
    </xf>
    <xf numFmtId="167" fontId="23" fillId="2" borderId="2" xfId="0" applyNumberFormat="1" applyFont="1" applyFill="1" applyBorder="1" applyAlignment="1" applyProtection="1">
      <alignment horizontal="center"/>
    </xf>
    <xf numFmtId="2" fontId="8" fillId="0" borderId="12" xfId="0" applyNumberFormat="1" applyFont="1" applyFill="1" applyBorder="1" applyAlignment="1" applyProtection="1">
      <alignment horizontal="left"/>
    </xf>
    <xf numFmtId="2" fontId="8" fillId="0" borderId="11" xfId="0" applyNumberFormat="1" applyFont="1" applyFill="1" applyBorder="1" applyAlignment="1" applyProtection="1">
      <alignment horizontal="left"/>
    </xf>
    <xf numFmtId="2" fontId="92" fillId="6" borderId="14" xfId="0" applyNumberFormat="1" applyFont="1" applyFill="1" applyBorder="1" applyAlignment="1" applyProtection="1">
      <alignment horizontal="center" vertical="center" textRotation="90"/>
    </xf>
    <xf numFmtId="2" fontId="92" fillId="6" borderId="6" xfId="0" applyNumberFormat="1" applyFont="1" applyFill="1" applyBorder="1" applyAlignment="1" applyProtection="1">
      <alignment horizontal="center" vertical="center" textRotation="90"/>
    </xf>
    <xf numFmtId="2" fontId="92" fillId="6" borderId="15" xfId="0" applyNumberFormat="1" applyFont="1" applyFill="1" applyBorder="1" applyAlignment="1" applyProtection="1">
      <alignment horizontal="center" vertical="center" textRotation="90"/>
    </xf>
    <xf numFmtId="2" fontId="0" fillId="2" borderId="0" xfId="0" applyNumberFormat="1" applyFont="1" applyFill="1" applyBorder="1" applyAlignment="1" applyProtection="1">
      <alignment horizontal="left"/>
    </xf>
    <xf numFmtId="2" fontId="0" fillId="2" borderId="0" xfId="0" applyNumberFormat="1" applyFont="1" applyFill="1" applyBorder="1" applyAlignment="1" applyProtection="1">
      <alignment horizontal="right"/>
    </xf>
    <xf numFmtId="2" fontId="1" fillId="2" borderId="0" xfId="0" applyNumberFormat="1" applyFont="1" applyFill="1" applyBorder="1" applyAlignment="1" applyProtection="1">
      <alignment horizontal="left"/>
    </xf>
    <xf numFmtId="2" fontId="5" fillId="0" borderId="0" xfId="0" applyNumberFormat="1" applyFont="1" applyFill="1" applyBorder="1" applyAlignment="1" applyProtection="1">
      <alignment horizontal="center" vertical="center"/>
    </xf>
    <xf numFmtId="2" fontId="0" fillId="2" borderId="0" xfId="0" applyNumberFormat="1" applyFill="1" applyBorder="1" applyAlignment="1" applyProtection="1">
      <alignment horizontal="right"/>
    </xf>
    <xf numFmtId="2" fontId="8" fillId="2" borderId="0" xfId="0" applyNumberFormat="1" applyFont="1" applyFill="1" applyBorder="1" applyAlignment="1" applyProtection="1">
      <alignment horizontal="right"/>
    </xf>
    <xf numFmtId="2" fontId="85" fillId="0" borderId="10" xfId="0" applyNumberFormat="1" applyFont="1" applyFill="1" applyBorder="1" applyAlignment="1" applyProtection="1">
      <alignment horizontal="left" vertical="center" indent="1"/>
    </xf>
    <xf numFmtId="2" fontId="85" fillId="0" borderId="12" xfId="0" applyNumberFormat="1" applyFont="1" applyFill="1" applyBorder="1" applyAlignment="1" applyProtection="1">
      <alignment horizontal="left" vertical="center" indent="1"/>
    </xf>
    <xf numFmtId="2" fontId="0" fillId="2" borderId="1" xfId="0" applyNumberFormat="1" applyFont="1" applyFill="1" applyBorder="1" applyAlignment="1" applyProtection="1">
      <alignment horizontal="right"/>
    </xf>
    <xf numFmtId="2" fontId="2" fillId="2" borderId="2" xfId="0" applyNumberFormat="1" applyFont="1" applyFill="1" applyBorder="1" applyAlignment="1" applyProtection="1">
      <alignment horizontal="center"/>
    </xf>
    <xf numFmtId="1" fontId="34" fillId="0" borderId="4" xfId="0" applyNumberFormat="1" applyFont="1" applyFill="1" applyBorder="1" applyAlignment="1" applyProtection="1">
      <alignment horizontal="left"/>
    </xf>
    <xf numFmtId="1" fontId="34" fillId="0" borderId="0" xfId="0" applyNumberFormat="1" applyFont="1" applyFill="1" applyBorder="1" applyAlignment="1" applyProtection="1">
      <alignment horizontal="left"/>
    </xf>
    <xf numFmtId="1" fontId="34" fillId="0" borderId="3" xfId="0" applyNumberFormat="1" applyFont="1" applyFill="1" applyBorder="1" applyAlignment="1" applyProtection="1">
      <alignment horizontal="left"/>
    </xf>
    <xf numFmtId="2" fontId="0" fillId="2" borderId="7" xfId="0" applyNumberFormat="1" applyFill="1" applyBorder="1" applyAlignment="1" applyProtection="1">
      <alignment horizontal="right"/>
    </xf>
    <xf numFmtId="2" fontId="0" fillId="2" borderId="8" xfId="0" applyNumberFormat="1" applyFill="1" applyBorder="1" applyAlignment="1" applyProtection="1">
      <alignment horizontal="right"/>
    </xf>
    <xf numFmtId="2" fontId="0" fillId="2" borderId="9" xfId="0" applyNumberFormat="1" applyFill="1" applyBorder="1" applyAlignment="1" applyProtection="1">
      <alignment horizontal="right"/>
    </xf>
    <xf numFmtId="1" fontId="48" fillId="2" borderId="12" xfId="0" applyNumberFormat="1" applyFont="1" applyFill="1" applyBorder="1" applyAlignment="1" applyProtection="1">
      <alignment horizontal="center"/>
    </xf>
    <xf numFmtId="1" fontId="1" fillId="2" borderId="1" xfId="0" applyNumberFormat="1" applyFont="1" applyFill="1" applyBorder="1" applyAlignment="1" applyProtection="1">
      <alignment horizontal="left"/>
    </xf>
    <xf numFmtId="1" fontId="31" fillId="2" borderId="5" xfId="0" applyNumberFormat="1" applyFont="1" applyFill="1" applyBorder="1" applyAlignment="1" applyProtection="1">
      <alignment horizontal="right"/>
    </xf>
    <xf numFmtId="1" fontId="31" fillId="2" borderId="1" xfId="0" applyNumberFormat="1" applyFont="1" applyFill="1" applyBorder="1" applyAlignment="1" applyProtection="1">
      <alignment horizontal="right"/>
    </xf>
    <xf numFmtId="2" fontId="4" fillId="2" borderId="8" xfId="0" applyNumberFormat="1" applyFont="1" applyFill="1" applyBorder="1" applyAlignment="1" applyProtection="1">
      <alignment horizontal="right"/>
    </xf>
    <xf numFmtId="2" fontId="34" fillId="0" borderId="4" xfId="0" applyNumberFormat="1" applyFont="1" applyFill="1" applyBorder="1" applyAlignment="1" applyProtection="1">
      <alignment horizontal="left"/>
    </xf>
    <xf numFmtId="2" fontId="34" fillId="0" borderId="0" xfId="0" applyNumberFormat="1" applyFont="1" applyFill="1" applyBorder="1" applyAlignment="1" applyProtection="1">
      <alignment horizontal="left"/>
    </xf>
    <xf numFmtId="2" fontId="34" fillId="0" borderId="3" xfId="0" applyNumberFormat="1" applyFont="1" applyFill="1" applyBorder="1" applyAlignment="1" applyProtection="1">
      <alignment horizontal="left"/>
    </xf>
    <xf numFmtId="2" fontId="5" fillId="2" borderId="0" xfId="0" applyNumberFormat="1" applyFont="1" applyFill="1" applyBorder="1" applyAlignment="1" applyProtection="1">
      <alignment horizontal="center"/>
    </xf>
    <xf numFmtId="2" fontId="47" fillId="2" borderId="0" xfId="0" applyNumberFormat="1" applyFont="1" applyFill="1" applyBorder="1" applyAlignment="1" applyProtection="1">
      <alignment horizontal="center" vertical="top"/>
    </xf>
    <xf numFmtId="2" fontId="34" fillId="0" borderId="5" xfId="0" applyNumberFormat="1" applyFont="1" applyFill="1" applyBorder="1" applyAlignment="1" applyProtection="1">
      <alignment horizontal="left"/>
    </xf>
    <xf numFmtId="2" fontId="34" fillId="0" borderId="1" xfId="0" applyNumberFormat="1" applyFont="1" applyFill="1" applyBorder="1" applyAlignment="1" applyProtection="1">
      <alignment horizontal="left"/>
    </xf>
    <xf numFmtId="2" fontId="40" fillId="2" borderId="0" xfId="0" applyNumberFormat="1" applyFont="1" applyFill="1" applyBorder="1" applyAlignment="1" applyProtection="1">
      <alignment horizontal="center"/>
    </xf>
    <xf numFmtId="2" fontId="34" fillId="0" borderId="10" xfId="0" applyNumberFormat="1" applyFont="1" applyFill="1" applyBorder="1" applyAlignment="1" applyProtection="1">
      <alignment horizontal="left"/>
    </xf>
    <xf numFmtId="2" fontId="34" fillId="0" borderId="12" xfId="0" applyNumberFormat="1" applyFont="1" applyFill="1" applyBorder="1" applyAlignment="1" applyProtection="1">
      <alignment horizontal="left"/>
    </xf>
    <xf numFmtId="2" fontId="115" fillId="3" borderId="73" xfId="0" applyNumberFormat="1" applyFont="1" applyFill="1" applyBorder="1" applyAlignment="1" applyProtection="1">
      <alignment horizontal="center" vertical="center"/>
    </xf>
    <xf numFmtId="2" fontId="115" fillId="3" borderId="60" xfId="0" applyNumberFormat="1" applyFont="1" applyFill="1" applyBorder="1" applyAlignment="1" applyProtection="1">
      <alignment horizontal="right" vertical="center"/>
    </xf>
    <xf numFmtId="2" fontId="115" fillId="3" borderId="55" xfId="0" applyNumberFormat="1" applyFont="1" applyFill="1" applyBorder="1" applyAlignment="1" applyProtection="1">
      <alignment horizontal="right" vertical="center"/>
    </xf>
    <xf numFmtId="2" fontId="15" fillId="2" borderId="0" xfId="0" applyNumberFormat="1" applyFont="1" applyFill="1" applyAlignment="1" applyProtection="1">
      <alignment horizontal="left" vertical="top"/>
    </xf>
    <xf numFmtId="2" fontId="110" fillId="3" borderId="75" xfId="0" applyNumberFormat="1" applyFont="1" applyFill="1" applyBorder="1" applyAlignment="1" applyProtection="1">
      <alignment horizontal="center" vertical="center"/>
    </xf>
    <xf numFmtId="2" fontId="110" fillId="3" borderId="76" xfId="0" applyNumberFormat="1" applyFont="1" applyFill="1" applyBorder="1" applyAlignment="1" applyProtection="1">
      <alignment horizontal="center" vertical="center"/>
    </xf>
    <xf numFmtId="2" fontId="0" fillId="0" borderId="12" xfId="0" applyNumberFormat="1" applyFont="1" applyFill="1" applyBorder="1" applyAlignment="1" applyProtection="1">
      <alignment horizontal="center"/>
    </xf>
    <xf numFmtId="2" fontId="22" fillId="2" borderId="0" xfId="0" applyNumberFormat="1" applyFont="1" applyFill="1" applyBorder="1" applyAlignment="1" applyProtection="1">
      <alignment horizontal="center" vertical="center"/>
    </xf>
    <xf numFmtId="2" fontId="0" fillId="0" borderId="10" xfId="0" applyNumberFormat="1" applyFont="1" applyFill="1" applyBorder="1" applyAlignment="1" applyProtection="1">
      <alignment horizontal="center"/>
    </xf>
    <xf numFmtId="2" fontId="0" fillId="2" borderId="1" xfId="0" applyNumberFormat="1" applyFill="1" applyBorder="1" applyAlignment="1" applyProtection="1">
      <alignment horizontal="left"/>
    </xf>
    <xf numFmtId="2" fontId="0" fillId="2" borderId="2" xfId="0" applyNumberFormat="1" applyFill="1" applyBorder="1" applyAlignment="1" applyProtection="1">
      <alignment horizontal="left"/>
    </xf>
    <xf numFmtId="1" fontId="1" fillId="2" borderId="0" xfId="0" applyNumberFormat="1" applyFont="1" applyFill="1" applyBorder="1" applyAlignment="1" applyProtection="1">
      <alignment horizontal="left"/>
    </xf>
    <xf numFmtId="1" fontId="2" fillId="2" borderId="0" xfId="0" applyNumberFormat="1" applyFont="1" applyFill="1" applyBorder="1" applyAlignment="1" applyProtection="1">
      <alignment horizontal="left"/>
    </xf>
    <xf numFmtId="2" fontId="0" fillId="0" borderId="11" xfId="0" applyNumberFormat="1" applyFont="1" applyFill="1" applyBorder="1" applyAlignment="1" applyProtection="1">
      <alignment horizontal="center"/>
    </xf>
    <xf numFmtId="2" fontId="30" fillId="2" borderId="12" xfId="0" applyNumberFormat="1" applyFont="1" applyFill="1" applyBorder="1" applyAlignment="1" applyProtection="1">
      <alignment horizontal="right" vertical="top"/>
    </xf>
    <xf numFmtId="2" fontId="30" fillId="2" borderId="12" xfId="0" applyNumberFormat="1" applyFont="1" applyFill="1" applyBorder="1" applyAlignment="1" applyProtection="1">
      <alignment horizontal="left" vertical="top"/>
    </xf>
    <xf numFmtId="2" fontId="110" fillId="3" borderId="58" xfId="0" applyNumberFormat="1" applyFont="1" applyFill="1" applyBorder="1" applyAlignment="1" applyProtection="1">
      <alignment horizontal="left"/>
    </xf>
    <xf numFmtId="2" fontId="110" fillId="3" borderId="59" xfId="0" applyNumberFormat="1" applyFont="1" applyFill="1" applyBorder="1" applyAlignment="1" applyProtection="1">
      <alignment horizontal="left"/>
    </xf>
    <xf numFmtId="2" fontId="0" fillId="2" borderId="1" xfId="0" applyNumberFormat="1" applyFont="1" applyFill="1" applyBorder="1" applyAlignment="1" applyProtection="1">
      <alignment horizontal="left"/>
    </xf>
    <xf numFmtId="2" fontId="47" fillId="2" borderId="0" xfId="0" applyNumberFormat="1" applyFont="1" applyFill="1" applyBorder="1" applyAlignment="1" applyProtection="1">
      <alignment horizontal="center" vertical="center"/>
    </xf>
    <xf numFmtId="2" fontId="5" fillId="2" borderId="1" xfId="0" applyNumberFormat="1" applyFont="1" applyFill="1" applyBorder="1" applyAlignment="1" applyProtection="1">
      <alignment horizontal="center"/>
    </xf>
    <xf numFmtId="2" fontId="128" fillId="10" borderId="67" xfId="0" quotePrefix="1" applyNumberFormat="1" applyFont="1" applyFill="1" applyBorder="1" applyAlignment="1" applyProtection="1">
      <alignment horizontal="center"/>
    </xf>
    <xf numFmtId="2" fontId="46" fillId="2" borderId="0" xfId="0" applyNumberFormat="1" applyFont="1" applyFill="1" applyAlignment="1" applyProtection="1">
      <alignment horizontal="left" vertical="top"/>
    </xf>
    <xf numFmtId="2" fontId="46" fillId="2" borderId="89" xfId="0" applyNumberFormat="1" applyFont="1" applyFill="1" applyBorder="1" applyAlignment="1" applyProtection="1">
      <alignment horizontal="left" vertical="top"/>
    </xf>
    <xf numFmtId="2" fontId="0" fillId="2" borderId="0" xfId="0" applyNumberFormat="1" applyFill="1" applyBorder="1" applyAlignment="1" applyProtection="1">
      <alignment horizontal="center"/>
    </xf>
    <xf numFmtId="2" fontId="0" fillId="2" borderId="1" xfId="0" applyNumberFormat="1" applyFill="1" applyBorder="1" applyAlignment="1" applyProtection="1">
      <alignment horizontal="center"/>
    </xf>
    <xf numFmtId="2" fontId="75" fillId="3" borderId="63" xfId="0" applyNumberFormat="1" applyFont="1" applyFill="1" applyBorder="1" applyAlignment="1" applyProtection="1">
      <alignment horizontal="left" vertical="top"/>
    </xf>
    <xf numFmtId="2" fontId="75" fillId="3" borderId="39" xfId="0" applyNumberFormat="1" applyFont="1" applyFill="1" applyBorder="1" applyAlignment="1" applyProtection="1">
      <alignment horizontal="left" vertical="top"/>
    </xf>
    <xf numFmtId="2" fontId="113" fillId="3" borderId="45" xfId="0" applyNumberFormat="1" applyFont="1" applyFill="1" applyBorder="1" applyAlignment="1" applyProtection="1">
      <alignment horizontal="left" vertical="top"/>
    </xf>
    <xf numFmtId="2" fontId="113" fillId="3" borderId="39" xfId="0" applyNumberFormat="1" applyFont="1" applyFill="1" applyBorder="1" applyAlignment="1" applyProtection="1">
      <alignment horizontal="left" vertical="top"/>
    </xf>
    <xf numFmtId="2" fontId="75" fillId="3" borderId="53" xfId="0" applyNumberFormat="1" applyFont="1" applyFill="1" applyBorder="1" applyAlignment="1" applyProtection="1">
      <alignment horizontal="left" vertical="center"/>
    </xf>
    <xf numFmtId="2" fontId="75" fillId="3" borderId="50" xfId="0" applyNumberFormat="1" applyFont="1" applyFill="1" applyBorder="1" applyAlignment="1" applyProtection="1">
      <alignment horizontal="left" vertical="center"/>
    </xf>
    <xf numFmtId="2" fontId="75" fillId="3" borderId="46" xfId="0" applyNumberFormat="1" applyFont="1" applyFill="1" applyBorder="1" applyAlignment="1" applyProtection="1">
      <alignment horizontal="left" vertical="center"/>
    </xf>
    <xf numFmtId="2" fontId="1" fillId="2" borderId="0" xfId="0" applyNumberFormat="1" applyFont="1" applyFill="1" applyAlignment="1" applyProtection="1">
      <alignment horizontal="left"/>
    </xf>
    <xf numFmtId="2" fontId="1" fillId="2" borderId="44" xfId="0" applyNumberFormat="1" applyFont="1" applyFill="1" applyBorder="1" applyAlignment="1" applyProtection="1">
      <alignment horizontal="left"/>
    </xf>
    <xf numFmtId="2" fontId="37" fillId="0" borderId="4" xfId="0" applyNumberFormat="1" applyFont="1" applyFill="1" applyBorder="1" applyAlignment="1" applyProtection="1">
      <alignment horizontal="left"/>
    </xf>
    <xf numFmtId="2" fontId="37" fillId="0" borderId="0" xfId="0" applyNumberFormat="1" applyFont="1" applyFill="1" applyBorder="1" applyAlignment="1" applyProtection="1">
      <alignment horizontal="left"/>
    </xf>
    <xf numFmtId="2" fontId="119" fillId="2" borderId="5" xfId="0" applyNumberFormat="1" applyFont="1" applyFill="1" applyBorder="1" applyAlignment="1" applyProtection="1">
      <alignment horizontal="left"/>
    </xf>
    <xf numFmtId="2" fontId="119" fillId="2" borderId="1" xfId="0" applyNumberFormat="1" applyFont="1" applyFill="1" applyBorder="1" applyAlignment="1" applyProtection="1">
      <alignment horizontal="left"/>
    </xf>
    <xf numFmtId="2" fontId="38" fillId="2" borderId="0" xfId="0" applyNumberFormat="1" applyFont="1" applyFill="1" applyBorder="1" applyAlignment="1" applyProtection="1">
      <alignment horizontal="center" vertical="top"/>
    </xf>
    <xf numFmtId="3" fontId="38" fillId="0" borderId="0" xfId="0" applyNumberFormat="1" applyFont="1" applyFill="1" applyBorder="1" applyAlignment="1" applyProtection="1">
      <alignment horizontal="center"/>
    </xf>
    <xf numFmtId="2" fontId="4" fillId="2" borderId="7" xfId="0" applyNumberFormat="1" applyFont="1" applyFill="1" applyBorder="1" applyAlignment="1" applyProtection="1">
      <alignment horizontal="left"/>
    </xf>
    <xf numFmtId="2" fontId="4" fillId="2" borderId="8" xfId="0" applyNumberFormat="1" applyFont="1" applyFill="1" applyBorder="1" applyAlignment="1" applyProtection="1">
      <alignment horizontal="left"/>
    </xf>
    <xf numFmtId="2" fontId="4" fillId="2" borderId="7" xfId="0" applyNumberFormat="1" applyFont="1" applyFill="1" applyBorder="1" applyAlignment="1" applyProtection="1">
      <alignment horizontal="right"/>
    </xf>
    <xf numFmtId="2" fontId="0" fillId="2" borderId="4" xfId="0" applyNumberFormat="1" applyFill="1" applyBorder="1" applyAlignment="1" applyProtection="1">
      <alignment horizontal="right"/>
    </xf>
    <xf numFmtId="2" fontId="0" fillId="2" borderId="0" xfId="0" applyNumberFormat="1" applyFill="1" applyAlignment="1" applyProtection="1">
      <alignment horizontal="right"/>
    </xf>
    <xf numFmtId="2" fontId="104" fillId="8" borderId="25" xfId="0" applyNumberFormat="1" applyFont="1" applyFill="1" applyBorder="1" applyAlignment="1" applyProtection="1">
      <alignment horizontal="center" vertical="center"/>
    </xf>
    <xf numFmtId="2" fontId="104" fillId="8" borderId="0" xfId="0" applyNumberFormat="1" applyFont="1" applyFill="1" applyBorder="1" applyAlignment="1" applyProtection="1">
      <alignment horizontal="center" vertical="center"/>
    </xf>
    <xf numFmtId="2" fontId="99" fillId="8" borderId="0" xfId="0" applyNumberFormat="1" applyFont="1" applyFill="1" applyBorder="1" applyAlignment="1" applyProtection="1">
      <alignment horizontal="center" vertical="center"/>
    </xf>
    <xf numFmtId="2" fontId="1" fillId="2" borderId="56" xfId="0" applyNumberFormat="1" applyFont="1" applyFill="1" applyBorder="1" applyAlignment="1" applyProtection="1">
      <alignment horizontal="center"/>
    </xf>
    <xf numFmtId="2" fontId="1" fillId="2" borderId="0" xfId="0" applyNumberFormat="1" applyFont="1" applyFill="1" applyBorder="1" applyAlignment="1" applyProtection="1">
      <alignment horizontal="center"/>
    </xf>
    <xf numFmtId="2" fontId="1" fillId="2" borderId="4" xfId="0" applyNumberFormat="1" applyFont="1" applyFill="1" applyBorder="1" applyAlignment="1" applyProtection="1">
      <alignment horizontal="center"/>
    </xf>
    <xf numFmtId="2" fontId="45" fillId="2" borderId="0" xfId="0" applyNumberFormat="1" applyFont="1" applyFill="1" applyBorder="1" applyAlignment="1" applyProtection="1">
      <alignment horizontal="center" vertical="top"/>
    </xf>
    <xf numFmtId="2" fontId="77" fillId="2" borderId="56" xfId="0" applyNumberFormat="1" applyFont="1" applyFill="1" applyBorder="1" applyAlignment="1" applyProtection="1">
      <alignment horizontal="left" vertical="top" wrapText="1" indent="1"/>
    </xf>
    <xf numFmtId="2" fontId="77" fillId="2" borderId="0" xfId="0" applyNumberFormat="1" applyFont="1" applyFill="1" applyBorder="1" applyAlignment="1" applyProtection="1">
      <alignment horizontal="left" vertical="top" wrapText="1" indent="1"/>
    </xf>
    <xf numFmtId="2" fontId="77" fillId="2" borderId="27" xfId="0" applyNumberFormat="1" applyFont="1" applyFill="1" applyBorder="1" applyAlignment="1" applyProtection="1">
      <alignment horizontal="left" vertical="top" wrapText="1" indent="1"/>
    </xf>
    <xf numFmtId="2" fontId="47" fillId="2" borderId="0" xfId="0" applyNumberFormat="1" applyFont="1" applyFill="1" applyAlignment="1" applyProtection="1">
      <alignment horizontal="center"/>
    </xf>
    <xf numFmtId="2" fontId="35" fillId="2" borderId="0" xfId="0" applyNumberFormat="1" applyFont="1" applyFill="1" applyAlignment="1" applyProtection="1">
      <alignment horizontal="center" vertical="center"/>
    </xf>
    <xf numFmtId="2" fontId="35" fillId="2" borderId="0" xfId="0" applyNumberFormat="1" applyFont="1" applyFill="1" applyBorder="1" applyAlignment="1" applyProtection="1">
      <alignment horizontal="center" vertical="center"/>
    </xf>
    <xf numFmtId="2" fontId="71" fillId="2" borderId="0" xfId="1" applyNumberFormat="1" applyFont="1" applyFill="1" applyAlignment="1" applyProtection="1">
      <alignment horizontal="center" vertical="center"/>
    </xf>
    <xf numFmtId="2" fontId="72" fillId="2" borderId="0" xfId="1" applyNumberFormat="1" applyFont="1" applyFill="1" applyAlignment="1" applyProtection="1">
      <alignment horizontal="center" vertical="center"/>
    </xf>
    <xf numFmtId="2" fontId="58" fillId="2" borderId="0" xfId="0" applyNumberFormat="1" applyFont="1" applyFill="1" applyAlignment="1" applyProtection="1">
      <alignment horizontal="center" vertical="top"/>
    </xf>
    <xf numFmtId="2" fontId="60" fillId="2" borderId="0" xfId="0" applyNumberFormat="1" applyFont="1" applyFill="1" applyAlignment="1" applyProtection="1">
      <alignment horizontal="center" vertical="top"/>
    </xf>
    <xf numFmtId="2" fontId="34" fillId="2" borderId="0" xfId="0" applyNumberFormat="1" applyFont="1" applyFill="1" applyAlignment="1" applyProtection="1">
      <alignment horizontal="center" vertical="center"/>
    </xf>
    <xf numFmtId="2" fontId="0" fillId="2" borderId="0" xfId="0" applyNumberFormat="1" applyFont="1" applyFill="1" applyAlignment="1" applyProtection="1">
      <alignment horizontal="right"/>
    </xf>
    <xf numFmtId="2" fontId="108" fillId="8" borderId="4" xfId="0" applyNumberFormat="1" applyFont="1" applyFill="1" applyBorder="1" applyAlignment="1" applyProtection="1">
      <alignment horizontal="center" vertical="top"/>
    </xf>
    <xf numFmtId="2" fontId="108" fillId="8" borderId="3" xfId="0" applyNumberFormat="1" applyFont="1" applyFill="1" applyBorder="1" applyAlignment="1" applyProtection="1">
      <alignment horizontal="center" vertical="top"/>
    </xf>
    <xf numFmtId="2" fontId="108" fillId="8" borderId="0" xfId="0" applyNumberFormat="1" applyFont="1" applyFill="1" applyBorder="1" applyAlignment="1" applyProtection="1">
      <alignment horizontal="center" vertical="top"/>
    </xf>
    <xf numFmtId="2" fontId="47" fillId="2" borderId="56" xfId="0" applyNumberFormat="1" applyFont="1" applyFill="1" applyBorder="1" applyAlignment="1" applyProtection="1">
      <alignment horizontal="center"/>
    </xf>
    <xf numFmtId="2" fontId="47" fillId="2" borderId="0" xfId="0" applyNumberFormat="1" applyFont="1" applyFill="1" applyBorder="1" applyAlignment="1" applyProtection="1">
      <alignment horizontal="center"/>
    </xf>
    <xf numFmtId="2" fontId="108" fillId="8" borderId="0" xfId="0" applyNumberFormat="1" applyFont="1" applyFill="1" applyBorder="1" applyAlignment="1" applyProtection="1">
      <alignment horizontal="center"/>
    </xf>
    <xf numFmtId="2" fontId="108" fillId="8" borderId="3" xfId="0" applyNumberFormat="1" applyFont="1" applyFill="1" applyBorder="1" applyAlignment="1" applyProtection="1">
      <alignment horizontal="center"/>
    </xf>
    <xf numFmtId="2" fontId="28" fillId="0" borderId="0" xfId="0" applyNumberFormat="1" applyFont="1" applyFill="1" applyAlignment="1" applyProtection="1">
      <alignment horizontal="left" vertical="top"/>
    </xf>
    <xf numFmtId="2" fontId="44" fillId="2" borderId="0" xfId="0" applyNumberFormat="1" applyFont="1" applyFill="1" applyAlignment="1" applyProtection="1">
      <alignment horizontal="center"/>
    </xf>
    <xf numFmtId="2" fontId="43" fillId="2" borderId="1" xfId="0" applyNumberFormat="1" applyFont="1" applyFill="1" applyBorder="1" applyAlignment="1" applyProtection="1">
      <alignment horizontal="center" vertical="top"/>
    </xf>
    <xf numFmtId="2" fontId="10" fillId="2" borderId="4" xfId="0" applyNumberFormat="1" applyFont="1" applyFill="1" applyBorder="1" applyAlignment="1" applyProtection="1">
      <alignment horizontal="right" vertical="top"/>
    </xf>
    <xf numFmtId="2" fontId="10" fillId="2" borderId="0" xfId="0" applyNumberFormat="1" applyFont="1" applyFill="1" applyBorder="1" applyAlignment="1" applyProtection="1">
      <alignment horizontal="right" vertical="top"/>
    </xf>
    <xf numFmtId="2" fontId="10" fillId="2" borderId="3" xfId="0" applyNumberFormat="1" applyFont="1" applyFill="1" applyBorder="1" applyAlignment="1" applyProtection="1">
      <alignment horizontal="right" vertical="top"/>
    </xf>
    <xf numFmtId="2" fontId="119" fillId="2" borderId="10" xfId="0" applyNumberFormat="1" applyFont="1" applyFill="1" applyBorder="1" applyAlignment="1" applyProtection="1">
      <alignment horizontal="left"/>
    </xf>
    <xf numFmtId="2" fontId="119" fillId="2" borderId="12" xfId="0" applyNumberFormat="1" applyFont="1" applyFill="1" applyBorder="1" applyAlignment="1" applyProtection="1">
      <alignment horizontal="left"/>
    </xf>
    <xf numFmtId="1" fontId="118" fillId="2" borderId="10" xfId="0" applyNumberFormat="1" applyFont="1" applyFill="1" applyBorder="1" applyAlignment="1" applyProtection="1">
      <alignment horizontal="center"/>
    </xf>
    <xf numFmtId="1" fontId="118" fillId="2" borderId="12" xfId="0" applyNumberFormat="1" applyFont="1" applyFill="1" applyBorder="1" applyAlignment="1" applyProtection="1">
      <alignment horizontal="center"/>
    </xf>
    <xf numFmtId="1" fontId="118" fillId="2" borderId="11" xfId="0" applyNumberFormat="1" applyFont="1" applyFill="1" applyBorder="1" applyAlignment="1" applyProtection="1">
      <alignment horizontal="center"/>
    </xf>
    <xf numFmtId="2" fontId="89" fillId="4" borderId="10" xfId="0" applyNumberFormat="1" applyFont="1" applyFill="1" applyBorder="1" applyAlignment="1" applyProtection="1">
      <alignment horizontal="left" vertical="top"/>
    </xf>
    <xf numFmtId="0" fontId="0" fillId="0" borderId="12" xfId="0" applyBorder="1" applyAlignment="1">
      <alignment horizontal="left"/>
    </xf>
    <xf numFmtId="0" fontId="0" fillId="0" borderId="11" xfId="0" applyBorder="1" applyAlignment="1">
      <alignment horizontal="left"/>
    </xf>
    <xf numFmtId="2" fontId="8" fillId="2" borderId="4" xfId="0" applyNumberFormat="1" applyFont="1" applyFill="1" applyBorder="1" applyAlignment="1" applyProtection="1">
      <alignment horizontal="right"/>
    </xf>
    <xf numFmtId="2" fontId="8" fillId="2" borderId="3" xfId="0" applyNumberFormat="1" applyFont="1" applyFill="1" applyBorder="1" applyAlignment="1" applyProtection="1">
      <alignment horizontal="right"/>
    </xf>
    <xf numFmtId="2" fontId="10" fillId="2" borderId="5" xfId="0" applyNumberFormat="1" applyFont="1" applyFill="1" applyBorder="1" applyAlignment="1" applyProtection="1">
      <alignment horizontal="right" vertical="top"/>
    </xf>
    <xf numFmtId="2" fontId="10" fillId="2" borderId="1" xfId="0" applyNumberFormat="1" applyFont="1" applyFill="1" applyBorder="1" applyAlignment="1" applyProtection="1">
      <alignment horizontal="right" vertical="top"/>
    </xf>
    <xf numFmtId="2" fontId="10" fillId="2" borderId="2" xfId="0" applyNumberFormat="1" applyFont="1" applyFill="1" applyBorder="1" applyAlignment="1" applyProtection="1">
      <alignment horizontal="right" vertical="top"/>
    </xf>
    <xf numFmtId="2" fontId="28" fillId="0" borderId="0" xfId="0" applyNumberFormat="1" applyFont="1" applyFill="1" applyAlignment="1" applyProtection="1">
      <alignment horizontal="left"/>
    </xf>
    <xf numFmtId="2" fontId="53" fillId="2" borderId="0" xfId="0" applyNumberFormat="1" applyFont="1" applyFill="1" applyAlignment="1" applyProtection="1">
      <alignment horizontal="left" vertical="justify"/>
    </xf>
    <xf numFmtId="2" fontId="0" fillId="2" borderId="1" xfId="0" applyNumberFormat="1" applyFill="1" applyBorder="1" applyAlignment="1" applyProtection="1">
      <alignment horizontal="right"/>
    </xf>
    <xf numFmtId="2" fontId="84" fillId="0" borderId="4" xfId="0" applyNumberFormat="1" applyFont="1" applyFill="1" applyBorder="1" applyAlignment="1" applyProtection="1">
      <alignment horizontal="left" vertical="center" indent="1"/>
    </xf>
    <xf numFmtId="2" fontId="84" fillId="0" borderId="0" xfId="0" applyNumberFormat="1" applyFont="1" applyFill="1" applyBorder="1" applyAlignment="1" applyProtection="1">
      <alignment horizontal="left" vertical="center" indent="1"/>
    </xf>
    <xf numFmtId="164" fontId="84" fillId="0" borderId="5" xfId="0" applyNumberFormat="1" applyFont="1" applyFill="1" applyBorder="1" applyAlignment="1" applyProtection="1">
      <alignment horizontal="left" vertical="center" indent="1"/>
    </xf>
    <xf numFmtId="164" fontId="84" fillId="0" borderId="1" xfId="0" applyNumberFormat="1" applyFont="1" applyFill="1" applyBorder="1" applyAlignment="1" applyProtection="1">
      <alignment horizontal="left" vertical="center" indent="1"/>
    </xf>
    <xf numFmtId="2" fontId="99" fillId="8" borderId="3" xfId="0" applyNumberFormat="1" applyFont="1" applyFill="1" applyBorder="1" applyAlignment="1" applyProtection="1">
      <alignment horizontal="center" vertical="center"/>
    </xf>
    <xf numFmtId="2" fontId="1" fillId="2" borderId="57" xfId="0" applyNumberFormat="1" applyFont="1" applyFill="1" applyBorder="1" applyAlignment="1" applyProtection="1">
      <alignment horizontal="center"/>
    </xf>
    <xf numFmtId="2" fontId="31" fillId="2" borderId="7" xfId="0" applyNumberFormat="1" applyFont="1" applyFill="1" applyBorder="1" applyAlignment="1" applyProtection="1">
      <alignment horizontal="center"/>
    </xf>
    <xf numFmtId="2" fontId="31" fillId="2" borderId="8" xfId="0" applyNumberFormat="1" applyFont="1" applyFill="1" applyBorder="1" applyAlignment="1" applyProtection="1">
      <alignment horizontal="center"/>
    </xf>
    <xf numFmtId="2" fontId="31" fillId="2" borderId="9" xfId="0" applyNumberFormat="1" applyFont="1" applyFill="1" applyBorder="1" applyAlignment="1" applyProtection="1">
      <alignment horizontal="center"/>
    </xf>
    <xf numFmtId="1" fontId="31" fillId="2" borderId="7" xfId="0" applyNumberFormat="1" applyFont="1" applyFill="1" applyBorder="1" applyAlignment="1" applyProtection="1">
      <alignment horizontal="center"/>
    </xf>
    <xf numFmtId="1" fontId="31" fillId="2" borderId="8" xfId="0" applyNumberFormat="1" applyFont="1" applyFill="1" applyBorder="1" applyAlignment="1" applyProtection="1">
      <alignment horizontal="center"/>
    </xf>
    <xf numFmtId="1" fontId="31" fillId="2" borderId="9" xfId="0" applyNumberFormat="1" applyFont="1" applyFill="1" applyBorder="1" applyAlignment="1" applyProtection="1">
      <alignment horizontal="center"/>
    </xf>
    <xf numFmtId="2" fontId="99" fillId="8" borderId="4" xfId="0" applyNumberFormat="1" applyFont="1" applyFill="1" applyBorder="1" applyAlignment="1" applyProtection="1">
      <alignment horizontal="center" vertical="center"/>
    </xf>
    <xf numFmtId="2" fontId="105" fillId="8" borderId="0" xfId="0" applyNumberFormat="1" applyFont="1" applyFill="1" applyBorder="1" applyAlignment="1" applyProtection="1">
      <alignment horizontal="center" vertical="center"/>
    </xf>
    <xf numFmtId="2" fontId="100" fillId="8" borderId="10" xfId="0" applyNumberFormat="1" applyFont="1" applyFill="1" applyBorder="1" applyAlignment="1" applyProtection="1">
      <alignment horizontal="center" vertical="center"/>
    </xf>
    <xf numFmtId="2" fontId="100" fillId="8" borderId="12" xfId="0" applyNumberFormat="1" applyFont="1" applyFill="1" applyBorder="1" applyAlignment="1" applyProtection="1">
      <alignment horizontal="center" vertical="center"/>
    </xf>
    <xf numFmtId="2" fontId="100" fillId="8" borderId="11" xfId="0" applyNumberFormat="1" applyFont="1" applyFill="1" applyBorder="1" applyAlignment="1" applyProtection="1">
      <alignment horizontal="center" vertical="center"/>
    </xf>
    <xf numFmtId="2" fontId="105" fillId="8" borderId="38" xfId="0" applyNumberFormat="1" applyFont="1" applyFill="1" applyBorder="1" applyAlignment="1" applyProtection="1">
      <alignment horizontal="center" vertical="center"/>
    </xf>
    <xf numFmtId="2" fontId="105" fillId="8" borderId="12" xfId="0" applyNumberFormat="1" applyFont="1" applyFill="1" applyBorder="1" applyAlignment="1" applyProtection="1">
      <alignment horizontal="center" vertical="center"/>
    </xf>
    <xf numFmtId="2" fontId="105" fillId="8" borderId="11" xfId="0" applyNumberFormat="1" applyFont="1" applyFill="1" applyBorder="1" applyAlignment="1" applyProtection="1">
      <alignment horizontal="center" vertical="center"/>
    </xf>
    <xf numFmtId="2" fontId="105" fillId="8" borderId="4" xfId="0" applyNumberFormat="1" applyFont="1" applyFill="1" applyBorder="1" applyAlignment="1" applyProtection="1">
      <alignment horizontal="center" vertical="center"/>
    </xf>
    <xf numFmtId="2" fontId="105" fillId="8" borderId="3" xfId="0" applyNumberFormat="1" applyFont="1" applyFill="1" applyBorder="1" applyAlignment="1" applyProtection="1">
      <alignment horizontal="center" vertical="center"/>
    </xf>
    <xf numFmtId="2" fontId="0" fillId="2" borderId="4" xfId="0" applyNumberFormat="1" applyFill="1" applyBorder="1" applyAlignment="1" applyProtection="1">
      <alignment horizontal="center"/>
    </xf>
    <xf numFmtId="166" fontId="48" fillId="2" borderId="1" xfId="0" applyNumberFormat="1" applyFont="1" applyFill="1" applyBorder="1" applyAlignment="1" applyProtection="1">
      <alignment horizontal="left" vertical="top"/>
    </xf>
    <xf numFmtId="2" fontId="8" fillId="2" borderId="7" xfId="0" applyNumberFormat="1" applyFont="1" applyFill="1" applyBorder="1" applyAlignment="1" applyProtection="1">
      <alignment horizontal="center"/>
    </xf>
    <xf numFmtId="2" fontId="82" fillId="3" borderId="41" xfId="0" quotePrefix="1" applyNumberFormat="1" applyFont="1" applyFill="1" applyBorder="1" applyAlignment="1" applyProtection="1">
      <alignment horizontal="right"/>
    </xf>
    <xf numFmtId="2" fontId="82" fillId="3" borderId="69" xfId="0" applyNumberFormat="1" applyFont="1" applyFill="1" applyBorder="1" applyAlignment="1" applyProtection="1">
      <alignment horizontal="right"/>
    </xf>
    <xf numFmtId="2" fontId="118" fillId="2" borderId="7" xfId="0" applyNumberFormat="1" applyFont="1" applyFill="1" applyBorder="1" applyAlignment="1" applyProtection="1">
      <alignment horizontal="right"/>
    </xf>
    <xf numFmtId="2" fontId="118" fillId="2" borderId="8" xfId="0" applyNumberFormat="1" applyFont="1" applyFill="1" applyBorder="1" applyAlignment="1" applyProtection="1">
      <alignment horizontal="right"/>
    </xf>
    <xf numFmtId="2" fontId="8" fillId="2" borderId="7" xfId="0" applyNumberFormat="1" applyFont="1" applyFill="1" applyBorder="1" applyAlignment="1" applyProtection="1">
      <alignment horizontal="left"/>
    </xf>
    <xf numFmtId="2" fontId="8" fillId="2" borderId="8" xfId="0" applyNumberFormat="1" applyFont="1" applyFill="1" applyBorder="1" applyAlignment="1" applyProtection="1">
      <alignment horizontal="left"/>
    </xf>
    <xf numFmtId="1" fontId="34" fillId="0" borderId="10" xfId="0" applyNumberFormat="1" applyFont="1" applyFill="1" applyBorder="1" applyAlignment="1" applyProtection="1">
      <alignment horizontal="left"/>
    </xf>
    <xf numFmtId="1" fontId="34" fillId="0" borderId="12" xfId="0" applyNumberFormat="1" applyFont="1" applyFill="1" applyBorder="1" applyAlignment="1" applyProtection="1">
      <alignment horizontal="left"/>
    </xf>
    <xf numFmtId="1" fontId="34" fillId="0" borderId="11" xfId="0" applyNumberFormat="1" applyFont="1" applyFill="1" applyBorder="1" applyAlignment="1" applyProtection="1">
      <alignment horizontal="left"/>
    </xf>
    <xf numFmtId="2" fontId="34" fillId="0" borderId="7" xfId="0" applyNumberFormat="1" applyFont="1" applyFill="1" applyBorder="1" applyAlignment="1" applyProtection="1">
      <alignment horizontal="center"/>
    </xf>
    <xf numFmtId="2" fontId="34" fillId="0" borderId="8" xfId="0" applyNumberFormat="1" applyFont="1" applyFill="1" applyBorder="1" applyAlignment="1" applyProtection="1">
      <alignment horizontal="center"/>
    </xf>
    <xf numFmtId="2" fontId="65" fillId="3" borderId="43" xfId="0" applyNumberFormat="1" applyFont="1" applyFill="1" applyBorder="1" applyAlignment="1" applyProtection="1">
      <alignment horizontal="left" vertical="center"/>
    </xf>
    <xf numFmtId="2" fontId="65" fillId="3" borderId="0" xfId="0" applyNumberFormat="1" applyFont="1" applyFill="1" applyBorder="1" applyAlignment="1" applyProtection="1">
      <alignment horizontal="left" vertical="center"/>
    </xf>
    <xf numFmtId="2" fontId="8" fillId="2" borderId="12" xfId="0" applyNumberFormat="1" applyFont="1" applyFill="1" applyBorder="1" applyAlignment="1" applyProtection="1">
      <alignment horizontal="center"/>
    </xf>
    <xf numFmtId="2" fontId="45" fillId="2" borderId="0" xfId="0" applyNumberFormat="1" applyFont="1" applyFill="1" applyAlignment="1" applyProtection="1">
      <alignment horizontal="center" vertical="top"/>
    </xf>
    <xf numFmtId="1" fontId="118" fillId="2" borderId="7" xfId="0" applyNumberFormat="1" applyFont="1" applyFill="1" applyBorder="1" applyAlignment="1" applyProtection="1">
      <alignment horizontal="left"/>
    </xf>
    <xf numFmtId="1" fontId="118" fillId="2" borderId="8" xfId="0" applyNumberFormat="1" applyFont="1" applyFill="1" applyBorder="1" applyAlignment="1" applyProtection="1">
      <alignment horizontal="left"/>
    </xf>
    <xf numFmtId="1" fontId="118" fillId="2" borderId="9" xfId="0" applyNumberFormat="1" applyFont="1" applyFill="1" applyBorder="1" applyAlignment="1" applyProtection="1">
      <alignment horizontal="left"/>
    </xf>
    <xf numFmtId="2" fontId="22" fillId="2" borderId="7" xfId="0" applyNumberFormat="1" applyFont="1" applyFill="1" applyBorder="1" applyAlignment="1" applyProtection="1">
      <alignment horizontal="right"/>
    </xf>
    <xf numFmtId="2" fontId="22" fillId="2" borderId="8" xfId="0" applyNumberFormat="1" applyFont="1" applyFill="1" applyBorder="1" applyAlignment="1" applyProtection="1">
      <alignment horizontal="right"/>
    </xf>
    <xf numFmtId="2" fontId="0" fillId="2" borderId="0" xfId="0" applyNumberFormat="1" applyFill="1" applyAlignment="1" applyProtection="1">
      <alignment horizontal="left"/>
    </xf>
    <xf numFmtId="2" fontId="0" fillId="2" borderId="0" xfId="0" applyNumberFormat="1" applyFont="1" applyFill="1" applyAlignment="1" applyProtection="1">
      <alignment horizontal="left"/>
    </xf>
    <xf numFmtId="2" fontId="29" fillId="2" borderId="7" xfId="0" applyNumberFormat="1" applyFont="1" applyFill="1" applyBorder="1" applyAlignment="1" applyProtection="1">
      <alignment horizontal="left"/>
    </xf>
    <xf numFmtId="2" fontId="29" fillId="2" borderId="8" xfId="0" applyNumberFormat="1" applyFont="1" applyFill="1" applyBorder="1" applyAlignment="1" applyProtection="1">
      <alignment horizontal="left"/>
    </xf>
    <xf numFmtId="2" fontId="126" fillId="10" borderId="65" xfId="0" applyNumberFormat="1" applyFont="1" applyFill="1" applyBorder="1" applyAlignment="1" applyProtection="1">
      <alignment horizontal="left" vertical="center"/>
    </xf>
    <xf numFmtId="2" fontId="126" fillId="10" borderId="52" xfId="0" applyNumberFormat="1" applyFont="1" applyFill="1" applyBorder="1" applyAlignment="1" applyProtection="1">
      <alignment horizontal="left" vertical="center"/>
    </xf>
    <xf numFmtId="2" fontId="126" fillId="10" borderId="66" xfId="0" applyNumberFormat="1" applyFont="1" applyFill="1" applyBorder="1" applyAlignment="1" applyProtection="1">
      <alignment horizontal="left" vertical="center"/>
    </xf>
    <xf numFmtId="2" fontId="122" fillId="10" borderId="7" xfId="0" applyNumberFormat="1" applyFont="1" applyFill="1" applyBorder="1" applyAlignment="1" applyProtection="1">
      <alignment horizontal="center" vertical="center"/>
    </xf>
    <xf numFmtId="2" fontId="122" fillId="10" borderId="9" xfId="0" applyNumberFormat="1" applyFont="1" applyFill="1" applyBorder="1" applyAlignment="1" applyProtection="1">
      <alignment horizontal="center" vertical="center"/>
    </xf>
    <xf numFmtId="2" fontId="123" fillId="10" borderId="67" xfId="0" quotePrefix="1" applyNumberFormat="1" applyFont="1" applyFill="1" applyBorder="1" applyAlignment="1" applyProtection="1">
      <alignment horizontal="right"/>
    </xf>
    <xf numFmtId="2" fontId="122" fillId="10" borderId="61" xfId="0" applyNumberFormat="1" applyFont="1" applyFill="1" applyBorder="1" applyAlignment="1" applyProtection="1">
      <alignment horizontal="right"/>
    </xf>
    <xf numFmtId="2" fontId="90" fillId="2" borderId="0" xfId="0" applyNumberFormat="1" applyFont="1" applyFill="1" applyBorder="1" applyAlignment="1" applyProtection="1">
      <alignment horizontal="justify" vertical="center" wrapText="1"/>
    </xf>
    <xf numFmtId="2" fontId="74" fillId="2" borderId="0" xfId="0" applyNumberFormat="1" applyFont="1" applyFill="1" applyBorder="1" applyAlignment="1" applyProtection="1">
      <alignment horizontal="justify" vertical="center" wrapText="1"/>
    </xf>
    <xf numFmtId="2" fontId="74" fillId="2" borderId="1" xfId="0" applyNumberFormat="1" applyFont="1" applyFill="1" applyBorder="1" applyAlignment="1" applyProtection="1">
      <alignment horizontal="justify" vertical="center" wrapText="1"/>
    </xf>
    <xf numFmtId="2" fontId="47" fillId="2" borderId="27" xfId="0" applyNumberFormat="1" applyFont="1" applyFill="1" applyBorder="1" applyAlignment="1" applyProtection="1">
      <alignment horizontal="center"/>
    </xf>
    <xf numFmtId="2" fontId="0" fillId="2" borderId="27" xfId="0" applyNumberFormat="1" applyFill="1" applyBorder="1" applyAlignment="1" applyProtection="1">
      <alignment horizontal="center"/>
    </xf>
    <xf numFmtId="2" fontId="82" fillId="3" borderId="7" xfId="0" quotePrefix="1" applyNumberFormat="1" applyFont="1" applyFill="1" applyBorder="1" applyAlignment="1" applyProtection="1">
      <alignment horizontal="right"/>
    </xf>
    <xf numFmtId="2" fontId="82" fillId="3" borderId="8" xfId="0" applyNumberFormat="1" applyFont="1" applyFill="1" applyBorder="1" applyAlignment="1" applyProtection="1">
      <alignment horizontal="right"/>
    </xf>
    <xf numFmtId="2" fontId="1" fillId="10" borderId="10" xfId="0" applyNumberFormat="1" applyFont="1" applyFill="1" applyBorder="1" applyAlignment="1" applyProtection="1">
      <alignment horizontal="left" vertical="center"/>
    </xf>
    <xf numFmtId="2" fontId="1" fillId="10" borderId="11" xfId="0" applyNumberFormat="1" applyFont="1" applyFill="1" applyBorder="1" applyAlignment="1" applyProtection="1">
      <alignment horizontal="left" vertical="center"/>
    </xf>
    <xf numFmtId="2" fontId="134" fillId="11" borderId="75" xfId="0" applyNumberFormat="1" applyFont="1" applyFill="1" applyBorder="1" applyAlignment="1" applyProtection="1">
      <alignment horizontal="center" vertical="center"/>
    </xf>
    <xf numFmtId="2" fontId="134" fillId="11" borderId="85" xfId="0" applyNumberFormat="1" applyFont="1" applyFill="1" applyBorder="1" applyAlignment="1" applyProtection="1">
      <alignment horizontal="center" vertical="center"/>
    </xf>
    <xf numFmtId="2" fontId="115" fillId="3" borderId="59" xfId="0" applyNumberFormat="1" applyFont="1" applyFill="1" applyBorder="1" applyAlignment="1" applyProtection="1">
      <alignment horizontal="right"/>
    </xf>
    <xf numFmtId="2" fontId="115" fillId="3" borderId="87" xfId="0" applyNumberFormat="1" applyFont="1" applyFill="1" applyBorder="1" applyAlignment="1" applyProtection="1">
      <alignment horizontal="right" vertical="top"/>
    </xf>
    <xf numFmtId="2" fontId="115" fillId="3" borderId="86" xfId="0" applyNumberFormat="1" applyFont="1" applyFill="1" applyBorder="1" applyAlignment="1" applyProtection="1">
      <alignment horizontal="right" vertical="top"/>
    </xf>
    <xf numFmtId="0" fontId="9" fillId="3" borderId="13" xfId="0" applyFont="1" applyFill="1" applyBorder="1" applyAlignment="1" applyProtection="1">
      <alignment horizontal="center" vertical="top" wrapText="1"/>
      <protection hidden="1"/>
    </xf>
    <xf numFmtId="0" fontId="0" fillId="3" borderId="13" xfId="0" applyFill="1" applyBorder="1" applyAlignment="1" applyProtection="1">
      <alignment horizontal="center"/>
      <protection hidden="1"/>
    </xf>
    <xf numFmtId="0" fontId="8" fillId="3" borderId="0" xfId="0" applyFont="1" applyFill="1" applyAlignment="1" applyProtection="1">
      <alignment horizontal="center" wrapText="1"/>
      <protection hidden="1"/>
    </xf>
    <xf numFmtId="0" fontId="0" fillId="3" borderId="0" xfId="0" applyFill="1" applyAlignment="1" applyProtection="1">
      <alignment horizontal="center"/>
      <protection hidden="1"/>
    </xf>
    <xf numFmtId="0" fontId="0" fillId="3" borderId="4" xfId="0" applyFill="1" applyBorder="1" applyAlignment="1" applyProtection="1">
      <alignment horizontal="center"/>
      <protection hidden="1"/>
    </xf>
    <xf numFmtId="0" fontId="0" fillId="3" borderId="3" xfId="0" applyFill="1" applyBorder="1" applyAlignment="1" applyProtection="1">
      <alignment horizontal="center"/>
      <protection hidden="1"/>
    </xf>
    <xf numFmtId="2" fontId="0" fillId="3" borderId="12" xfId="0" applyNumberFormat="1" applyFill="1" applyBorder="1" applyAlignment="1" applyProtection="1">
      <alignment horizontal="center"/>
      <protection hidden="1"/>
    </xf>
    <xf numFmtId="0" fontId="0" fillId="3" borderId="0" xfId="0" applyFill="1" applyBorder="1" applyAlignment="1" applyProtection="1">
      <alignment horizontal="center"/>
      <protection hidden="1"/>
    </xf>
    <xf numFmtId="2" fontId="0" fillId="3" borderId="0" xfId="0" applyNumberFormat="1" applyFill="1" applyAlignment="1" applyProtection="1">
      <alignment horizontal="left"/>
      <protection hidden="1"/>
    </xf>
    <xf numFmtId="0" fontId="0" fillId="3" borderId="0" xfId="0" applyFill="1" applyAlignment="1" applyProtection="1">
      <alignment horizontal="left"/>
      <protection hidden="1"/>
    </xf>
    <xf numFmtId="0" fontId="0" fillId="3" borderId="0" xfId="0" applyFill="1" applyAlignment="1" applyProtection="1">
      <alignment horizontal="center" vertical="center"/>
      <protection hidden="1"/>
    </xf>
    <xf numFmtId="2" fontId="65" fillId="3" borderId="5" xfId="0" applyNumberFormat="1" applyFont="1" applyFill="1" applyBorder="1" applyAlignment="1" applyProtection="1">
      <alignment horizontal="left" vertical="center"/>
    </xf>
    <xf numFmtId="2" fontId="65" fillId="3" borderId="1" xfId="0" applyNumberFormat="1" applyFont="1" applyFill="1" applyBorder="1" applyAlignment="1" applyProtection="1">
      <alignment horizontal="left" vertical="center"/>
    </xf>
    <xf numFmtId="2" fontId="110" fillId="3" borderId="81" xfId="0" applyNumberFormat="1" applyFont="1" applyFill="1" applyBorder="1" applyAlignment="1" applyProtection="1">
      <alignment horizontal="center"/>
    </xf>
    <xf numFmtId="2" fontId="110" fillId="3" borderId="82" xfId="0" applyNumberFormat="1" applyFont="1" applyFill="1" applyBorder="1" applyAlignment="1" applyProtection="1">
      <alignment horizontal="center"/>
    </xf>
    <xf numFmtId="2" fontId="115" fillId="3" borderId="78" xfId="0" applyNumberFormat="1" applyFont="1" applyFill="1" applyBorder="1" applyAlignment="1" applyProtection="1">
      <alignment horizontal="right" vertical="top"/>
    </xf>
    <xf numFmtId="2" fontId="115" fillId="3" borderId="52" xfId="0" applyNumberFormat="1" applyFont="1" applyFill="1" applyBorder="1" applyAlignment="1" applyProtection="1">
      <alignment horizontal="right" vertical="top"/>
    </xf>
    <xf numFmtId="0" fontId="18" fillId="3" borderId="14" xfId="0" applyNumberFormat="1" applyFont="1" applyFill="1" applyBorder="1" applyAlignment="1" applyProtection="1">
      <alignment horizontal="center" vertical="top"/>
    </xf>
    <xf numFmtId="0" fontId="18" fillId="3" borderId="15" xfId="0" applyNumberFormat="1" applyFont="1" applyFill="1" applyBorder="1" applyAlignment="1" applyProtection="1">
      <alignment horizontal="center" vertical="top"/>
    </xf>
    <xf numFmtId="0" fontId="18" fillId="3" borderId="7" xfId="0" applyNumberFormat="1" applyFont="1" applyFill="1" applyBorder="1" applyAlignment="1" applyProtection="1">
      <alignment horizontal="center" vertical="top"/>
    </xf>
    <xf numFmtId="0" fontId="18" fillId="3" borderId="8" xfId="0" applyNumberFormat="1" applyFont="1" applyFill="1" applyBorder="1" applyAlignment="1" applyProtection="1">
      <alignment horizontal="center" vertical="top"/>
    </xf>
    <xf numFmtId="0" fontId="18" fillId="3" borderId="9" xfId="0" applyNumberFormat="1" applyFont="1" applyFill="1" applyBorder="1" applyAlignment="1" applyProtection="1">
      <alignment horizontal="center" vertical="top"/>
    </xf>
    <xf numFmtId="0" fontId="16" fillId="3" borderId="1" xfId="0" applyNumberFormat="1" applyFont="1" applyFill="1" applyBorder="1" applyAlignment="1" applyProtection="1">
      <alignment horizontal="left" vertical="top"/>
    </xf>
    <xf numFmtId="0" fontId="8" fillId="3" borderId="0" xfId="0" applyFont="1" applyFill="1" applyAlignment="1">
      <alignment horizontal="center"/>
    </xf>
    <xf numFmtId="0" fontId="16" fillId="3" borderId="0" xfId="0" applyNumberFormat="1" applyFont="1" applyFill="1" applyBorder="1" applyAlignment="1" applyProtection="1">
      <alignment horizontal="left" vertical="top"/>
    </xf>
    <xf numFmtId="0" fontId="18" fillId="3" borderId="14" xfId="0" applyNumberFormat="1" applyFont="1" applyFill="1" applyBorder="1" applyAlignment="1" applyProtection="1">
      <alignment horizontal="left" vertical="top" indent="1"/>
    </xf>
    <xf numFmtId="0" fontId="18" fillId="3" borderId="15" xfId="0" applyNumberFormat="1" applyFont="1" applyFill="1" applyBorder="1" applyAlignment="1" applyProtection="1">
      <alignment horizontal="left" vertical="top" indent="1"/>
    </xf>
    <xf numFmtId="0" fontId="0" fillId="7" borderId="0" xfId="0" applyFill="1" applyAlignment="1">
      <alignment horizontal="left"/>
    </xf>
    <xf numFmtId="0" fontId="0" fillId="7" borderId="0" xfId="0" applyFont="1" applyFill="1" applyAlignment="1">
      <alignment horizontal="left"/>
    </xf>
    <xf numFmtId="0" fontId="0" fillId="7" borderId="0" xfId="0" applyFill="1" applyAlignment="1">
      <alignment horizontal="left" vertical="center"/>
    </xf>
    <xf numFmtId="0" fontId="0" fillId="7" borderId="0" xfId="0" applyFont="1" applyFill="1" applyAlignment="1">
      <alignment horizontal="left" vertical="center"/>
    </xf>
    <xf numFmtId="0" fontId="9" fillId="7" borderId="0" xfId="0" applyFont="1" applyFill="1" applyAlignment="1">
      <alignment horizontal="center"/>
    </xf>
  </cellXfs>
  <cellStyles count="3">
    <cellStyle name="Κανονικό" xfId="0" builtinId="0"/>
    <cellStyle name="Κόμμα" xfId="2" builtinId="3"/>
    <cellStyle name="Υπερ-σύνδεση" xfId="1" builtinId="8"/>
  </cellStyles>
  <dxfs count="1">
    <dxf>
      <font>
        <color rgb="FFFF0000"/>
      </font>
    </dxf>
  </dxfs>
  <tableStyles count="0" defaultTableStyle="TableStyleMedium9" defaultPivotStyle="PivotStyleLight16"/>
  <colors>
    <mruColors>
      <color rgb="FFF6F4F0"/>
      <color rgb="FFF2F6EA"/>
      <color rgb="FFE7EDF5"/>
      <color rgb="FFE9F0DC"/>
      <color rgb="FFF4F2EC"/>
      <color rgb="FFF3F1E9"/>
      <color rgb="FFF8F7F2"/>
      <color rgb="FFD9E5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gzafeirakis.gr"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1187912</xdr:colOff>
      <xdr:row>15</xdr:row>
      <xdr:rowOff>93785</xdr:rowOff>
    </xdr:from>
    <xdr:to>
      <xdr:col>2</xdr:col>
      <xdr:colOff>7937</xdr:colOff>
      <xdr:row>16</xdr:row>
      <xdr:rowOff>90487</xdr:rowOff>
    </xdr:to>
    <xdr:grpSp>
      <xdr:nvGrpSpPr>
        <xdr:cNvPr id="34" name="33 - Ομάδα"/>
        <xdr:cNvGrpSpPr/>
      </xdr:nvGrpSpPr>
      <xdr:grpSpPr>
        <a:xfrm>
          <a:off x="1355552" y="2882705"/>
          <a:ext cx="145905" cy="179582"/>
          <a:chOff x="1370792" y="2875085"/>
          <a:chExt cx="145905" cy="179582"/>
        </a:xfrm>
      </xdr:grpSpPr>
      <xdr:cxnSp macro="">
        <xdr:nvCxnSpPr>
          <xdr:cNvPr id="20" name="19 - Ευθεία γραμμή σύνδεσης"/>
          <xdr:cNvCxnSpPr/>
        </xdr:nvCxnSpPr>
        <xdr:spPr>
          <a:xfrm flipH="1">
            <a:off x="1370792" y="2875085"/>
            <a:ext cx="145905"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23 - Ευθεία γραμμή σύνδεσης"/>
          <xdr:cNvCxnSpPr/>
        </xdr:nvCxnSpPr>
        <xdr:spPr>
          <a:xfrm>
            <a:off x="1374457" y="2876183"/>
            <a:ext cx="0" cy="178484"/>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 name="26 - Ευθύγραμμο βέλος σύνδεσης"/>
          <xdr:cNvCxnSpPr/>
        </xdr:nvCxnSpPr>
        <xdr:spPr>
          <a:xfrm flipV="1">
            <a:off x="1374457" y="3049537"/>
            <a:ext cx="104775" cy="5129"/>
          </a:xfrm>
          <a:prstGeom prst="straightConnector1">
            <a:avLst/>
          </a:prstGeom>
          <a:ln>
            <a:solidFill>
              <a:schemeClr val="accent2">
                <a:lumMod val="50000"/>
              </a:schemeClr>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1195532</xdr:colOff>
      <xdr:row>35</xdr:row>
      <xdr:rowOff>93785</xdr:rowOff>
    </xdr:from>
    <xdr:to>
      <xdr:col>1</xdr:col>
      <xdr:colOff>1303972</xdr:colOff>
      <xdr:row>36</xdr:row>
      <xdr:rowOff>90487</xdr:rowOff>
    </xdr:to>
    <xdr:grpSp>
      <xdr:nvGrpSpPr>
        <xdr:cNvPr id="35" name="34 - Ομάδα"/>
        <xdr:cNvGrpSpPr/>
      </xdr:nvGrpSpPr>
      <xdr:grpSpPr>
        <a:xfrm>
          <a:off x="1363172" y="6563165"/>
          <a:ext cx="108440" cy="194822"/>
          <a:chOff x="1370792" y="2875085"/>
          <a:chExt cx="108440" cy="179582"/>
        </a:xfrm>
      </xdr:grpSpPr>
      <xdr:cxnSp macro="">
        <xdr:nvCxnSpPr>
          <xdr:cNvPr id="36" name="35 - Ευθεία γραμμή σύνδεσης"/>
          <xdr:cNvCxnSpPr/>
        </xdr:nvCxnSpPr>
        <xdr:spPr>
          <a:xfrm flipH="1">
            <a:off x="1370792" y="2875085"/>
            <a:ext cx="108000"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36 - Ευθεία γραμμή σύνδεσης"/>
          <xdr:cNvCxnSpPr/>
        </xdr:nvCxnSpPr>
        <xdr:spPr>
          <a:xfrm>
            <a:off x="1374457" y="2876183"/>
            <a:ext cx="0" cy="178484"/>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 name="37 - Ευθύγραμμο βέλος σύνδεσης"/>
          <xdr:cNvCxnSpPr/>
        </xdr:nvCxnSpPr>
        <xdr:spPr>
          <a:xfrm flipV="1">
            <a:off x="1374457" y="3049537"/>
            <a:ext cx="104775" cy="5129"/>
          </a:xfrm>
          <a:prstGeom prst="straightConnector1">
            <a:avLst/>
          </a:prstGeom>
          <a:ln>
            <a:solidFill>
              <a:schemeClr val="accent2">
                <a:lumMod val="50000"/>
              </a:schemeClr>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20</xdr:col>
      <xdr:colOff>243840</xdr:colOff>
      <xdr:row>105</xdr:row>
      <xdr:rowOff>53340</xdr:rowOff>
    </xdr:from>
    <xdr:to>
      <xdr:col>20</xdr:col>
      <xdr:colOff>480060</xdr:colOff>
      <xdr:row>105</xdr:row>
      <xdr:rowOff>289560</xdr:rowOff>
    </xdr:to>
    <xdr:pic>
      <xdr:nvPicPr>
        <xdr:cNvPr id="17" name="16 - Εικόνα" descr="home1.png"/>
        <xdr:cNvPicPr>
          <a:picLocks noChangeAspect="1"/>
        </xdr:cNvPicPr>
      </xdr:nvPicPr>
      <xdr:blipFill>
        <a:blip xmlns:r="http://schemas.openxmlformats.org/officeDocument/2006/relationships" r:embed="rId1" cstate="print">
          <a:lum contrast="20000"/>
        </a:blip>
        <a:stretch>
          <a:fillRect/>
        </a:stretch>
      </xdr:blipFill>
      <xdr:spPr>
        <a:xfrm>
          <a:off x="9212580" y="19568160"/>
          <a:ext cx="236220" cy="236220"/>
        </a:xfrm>
        <a:prstGeom prst="rect">
          <a:avLst/>
        </a:prstGeom>
      </xdr:spPr>
    </xdr:pic>
    <xdr:clientData/>
  </xdr:twoCellAnchor>
  <xdr:twoCellAnchor editAs="oneCell">
    <xdr:from>
      <xdr:col>24</xdr:col>
      <xdr:colOff>426720</xdr:colOff>
      <xdr:row>99</xdr:row>
      <xdr:rowOff>144780</xdr:rowOff>
    </xdr:from>
    <xdr:to>
      <xdr:col>29</xdr:col>
      <xdr:colOff>114300</xdr:colOff>
      <xdr:row>104</xdr:row>
      <xdr:rowOff>175260</xdr:rowOff>
    </xdr:to>
    <xdr:pic>
      <xdr:nvPicPr>
        <xdr:cNvPr id="18" name="14 - Εικόνα" descr="KARTA.png">
          <a:hlinkClick xmlns:r="http://schemas.openxmlformats.org/officeDocument/2006/relationships" r:id="rId2"/>
        </xdr:cNvPr>
        <xdr:cNvPicPr/>
      </xdr:nvPicPr>
      <xdr:blipFill>
        <a:blip xmlns:r="http://schemas.openxmlformats.org/officeDocument/2006/relationships" r:embed="rId3" cstate="print">
          <a:clrChange>
            <a:clrFrom>
              <a:srgbClr val="FFFFFF"/>
            </a:clrFrom>
            <a:clrTo>
              <a:srgbClr val="FFFFFF">
                <a:alpha val="0"/>
              </a:srgbClr>
            </a:clrTo>
          </a:clrChange>
          <a:lum bright="-10000" contrast="20000"/>
        </a:blip>
        <a:srcRect l="4004" t="17717" r="2145"/>
        <a:stretch>
          <a:fillRect/>
        </a:stretch>
      </xdr:blipFill>
      <xdr:spPr>
        <a:xfrm>
          <a:off x="11643360" y="18288000"/>
          <a:ext cx="2065020" cy="1143000"/>
        </a:xfrm>
        <a:prstGeom prst="rect">
          <a:avLst/>
        </a:prstGeom>
      </xdr:spPr>
    </xdr:pic>
    <xdr:clientData/>
  </xdr:twoCellAnchor>
  <xdr:twoCellAnchor>
    <xdr:from>
      <xdr:col>1</xdr:col>
      <xdr:colOff>975360</xdr:colOff>
      <xdr:row>101</xdr:row>
      <xdr:rowOff>76200</xdr:rowOff>
    </xdr:from>
    <xdr:to>
      <xdr:col>2</xdr:col>
      <xdr:colOff>60960</xdr:colOff>
      <xdr:row>103</xdr:row>
      <xdr:rowOff>0</xdr:rowOff>
    </xdr:to>
    <xdr:sp macro="" textlink="">
      <xdr:nvSpPr>
        <xdr:cNvPr id="19" name="18 - Διάγραμμα ροής: Πολλαπλή εκτύπωση"/>
        <xdr:cNvSpPr/>
      </xdr:nvSpPr>
      <xdr:spPr>
        <a:xfrm>
          <a:off x="1135380" y="18585180"/>
          <a:ext cx="411480" cy="304800"/>
        </a:xfrm>
        <a:prstGeom prst="flowChartMultidocument">
          <a:avLst/>
        </a:prstGeom>
        <a:solidFill>
          <a:schemeClr val="bg2"/>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l-GR" sz="1100"/>
        </a:p>
      </xdr:txBody>
    </xdr:sp>
    <xdr:clientData/>
  </xdr:twoCellAnchor>
  <xdr:twoCellAnchor>
    <xdr:from>
      <xdr:col>3</xdr:col>
      <xdr:colOff>83820</xdr:colOff>
      <xdr:row>55</xdr:row>
      <xdr:rowOff>7620</xdr:rowOff>
    </xdr:from>
    <xdr:to>
      <xdr:col>3</xdr:col>
      <xdr:colOff>335820</xdr:colOff>
      <xdr:row>55</xdr:row>
      <xdr:rowOff>7620</xdr:rowOff>
    </xdr:to>
    <xdr:cxnSp macro="">
      <xdr:nvCxnSpPr>
        <xdr:cNvPr id="21" name="20 - Ευθεία γραμμή σύνδεσης"/>
        <xdr:cNvCxnSpPr/>
      </xdr:nvCxnSpPr>
      <xdr:spPr>
        <a:xfrm>
          <a:off x="2011680" y="10104120"/>
          <a:ext cx="252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55</xdr:row>
      <xdr:rowOff>7620</xdr:rowOff>
    </xdr:from>
    <xdr:to>
      <xdr:col>4</xdr:col>
      <xdr:colOff>328200</xdr:colOff>
      <xdr:row>55</xdr:row>
      <xdr:rowOff>7620</xdr:rowOff>
    </xdr:to>
    <xdr:cxnSp macro="">
      <xdr:nvCxnSpPr>
        <xdr:cNvPr id="22" name="21 - Ευθεία γραμμή σύνδεσης"/>
        <xdr:cNvCxnSpPr/>
      </xdr:nvCxnSpPr>
      <xdr:spPr>
        <a:xfrm>
          <a:off x="2377440" y="10104120"/>
          <a:ext cx="252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320040</xdr:colOff>
      <xdr:row>54</xdr:row>
      <xdr:rowOff>106680</xdr:rowOff>
    </xdr:from>
    <xdr:to>
      <xdr:col>4</xdr:col>
      <xdr:colOff>114300</xdr:colOff>
      <xdr:row>55</xdr:row>
      <xdr:rowOff>83820</xdr:rowOff>
    </xdr:to>
    <xdr:sp macro="" textlink="">
      <xdr:nvSpPr>
        <xdr:cNvPr id="26" name="25 - TextBox"/>
        <xdr:cNvSpPr txBox="1"/>
      </xdr:nvSpPr>
      <xdr:spPr>
        <a:xfrm>
          <a:off x="2247900" y="10020300"/>
          <a:ext cx="167640" cy="16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a:t>
          </a:r>
          <a:endParaRPr lang="el-GR" sz="1100"/>
        </a:p>
      </xdr:txBody>
    </xdr:sp>
    <xdr:clientData/>
  </xdr:twoCellAnchor>
  <xdr:twoCellAnchor>
    <xdr:from>
      <xdr:col>4</xdr:col>
      <xdr:colOff>335280</xdr:colOff>
      <xdr:row>54</xdr:row>
      <xdr:rowOff>106680</xdr:rowOff>
    </xdr:from>
    <xdr:to>
      <xdr:col>5</xdr:col>
      <xdr:colOff>114300</xdr:colOff>
      <xdr:row>55</xdr:row>
      <xdr:rowOff>83820</xdr:rowOff>
    </xdr:to>
    <xdr:sp macro="" textlink="">
      <xdr:nvSpPr>
        <xdr:cNvPr id="28" name="27 - TextBox"/>
        <xdr:cNvSpPr txBox="1"/>
      </xdr:nvSpPr>
      <xdr:spPr>
        <a:xfrm>
          <a:off x="2636520" y="10020300"/>
          <a:ext cx="167640" cy="16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a:t>
          </a:r>
          <a:endParaRPr lang="el-GR" sz="1100">
            <a:solidFill>
              <a:schemeClr val="dk1"/>
            </a:solidFill>
            <a:latin typeface="+mn-lt"/>
            <a:ea typeface="+mn-ea"/>
            <a:cs typeface="+mn-cs"/>
          </a:endParaRPr>
        </a:p>
        <a:p>
          <a:pPr algn="ctr"/>
          <a:r>
            <a:rPr lang="en-US" sz="1100"/>
            <a:t>=</a:t>
          </a:r>
          <a:endParaRPr lang="el-GR" sz="1100"/>
        </a:p>
      </xdr:txBody>
    </xdr:sp>
    <xdr:clientData/>
  </xdr:twoCellAnchor>
  <xdr:twoCellAnchor editAs="oneCell">
    <xdr:from>
      <xdr:col>20</xdr:col>
      <xdr:colOff>22860</xdr:colOff>
      <xdr:row>7</xdr:row>
      <xdr:rowOff>167640</xdr:rowOff>
    </xdr:from>
    <xdr:to>
      <xdr:col>29</xdr:col>
      <xdr:colOff>470583</xdr:colOff>
      <xdr:row>14</xdr:row>
      <xdr:rowOff>15240</xdr:rowOff>
    </xdr:to>
    <xdr:pic>
      <xdr:nvPicPr>
        <xdr:cNvPr id="30" name="29 - Εικόνα" descr="ΣΚΑΡΙΦΗΜΑΤΑ-Model.png"/>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lum bright="-10000"/>
        </a:blip>
        <a:srcRect l="3253" t="20623" r="2755" b="49449"/>
        <a:stretch>
          <a:fillRect/>
        </a:stretch>
      </xdr:blipFill>
      <xdr:spPr>
        <a:xfrm>
          <a:off x="8991600" y="1485900"/>
          <a:ext cx="5065443" cy="1127760"/>
        </a:xfrm>
        <a:prstGeom prst="rect">
          <a:avLst/>
        </a:prstGeom>
      </xdr:spPr>
    </xdr:pic>
    <xdr:clientData/>
  </xdr:twoCellAnchor>
  <xdr:twoCellAnchor editAs="oneCell">
    <xdr:from>
      <xdr:col>20</xdr:col>
      <xdr:colOff>15239</xdr:colOff>
      <xdr:row>49</xdr:row>
      <xdr:rowOff>160020</xdr:rowOff>
    </xdr:from>
    <xdr:to>
      <xdr:col>29</xdr:col>
      <xdr:colOff>480060</xdr:colOff>
      <xdr:row>56</xdr:row>
      <xdr:rowOff>10904</xdr:rowOff>
    </xdr:to>
    <xdr:pic>
      <xdr:nvPicPr>
        <xdr:cNvPr id="31" name="30 - Εικόνα" descr="ΣΚΑΡΙΦΗΜΑΤΑ-Model.png"/>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lum bright="-10000"/>
        </a:blip>
        <a:srcRect l="3781" t="66270" r="2580" b="3928"/>
        <a:stretch>
          <a:fillRect/>
        </a:stretch>
      </xdr:blipFill>
      <xdr:spPr>
        <a:xfrm>
          <a:off x="8983979" y="9159240"/>
          <a:ext cx="5082541" cy="1131044"/>
        </a:xfrm>
        <a:prstGeom prst="rect">
          <a:avLst/>
        </a:prstGeom>
      </xdr:spPr>
    </xdr:pic>
    <xdr:clientData/>
  </xdr:twoCellAnchor>
  <xdr:twoCellAnchor>
    <xdr:from>
      <xdr:col>16</xdr:col>
      <xdr:colOff>312420</xdr:colOff>
      <xdr:row>0</xdr:row>
      <xdr:rowOff>83820</xdr:rowOff>
    </xdr:from>
    <xdr:to>
      <xdr:col>19</xdr:col>
      <xdr:colOff>297180</xdr:colOff>
      <xdr:row>4</xdr:row>
      <xdr:rowOff>30480</xdr:rowOff>
    </xdr:to>
    <xdr:grpSp>
      <xdr:nvGrpSpPr>
        <xdr:cNvPr id="33" name="32 - Ομάδα"/>
        <xdr:cNvGrpSpPr/>
      </xdr:nvGrpSpPr>
      <xdr:grpSpPr>
        <a:xfrm>
          <a:off x="7581900" y="83820"/>
          <a:ext cx="1287780" cy="685800"/>
          <a:chOff x="7734300" y="83820"/>
          <a:chExt cx="1287780" cy="685800"/>
        </a:xfrm>
      </xdr:grpSpPr>
      <xdr:pic>
        <xdr:nvPicPr>
          <xdr:cNvPr id="25" name="24 - Εικόνα" descr="home1.png"/>
          <xdr:cNvPicPr>
            <a:picLocks noChangeAspect="1"/>
          </xdr:cNvPicPr>
        </xdr:nvPicPr>
        <xdr:blipFill>
          <a:blip xmlns:r="http://schemas.openxmlformats.org/officeDocument/2006/relationships" r:embed="rId1" cstate="print"/>
          <a:stretch>
            <a:fillRect/>
          </a:stretch>
        </xdr:blipFill>
        <xdr:spPr>
          <a:xfrm>
            <a:off x="7863841" y="152401"/>
            <a:ext cx="563879" cy="563879"/>
          </a:xfrm>
          <a:prstGeom prst="rect">
            <a:avLst/>
          </a:prstGeom>
        </xdr:spPr>
      </xdr:pic>
      <xdr:sp macro="" textlink="">
        <xdr:nvSpPr>
          <xdr:cNvPr id="29" name="28 - Ορθογώνιο"/>
          <xdr:cNvSpPr/>
        </xdr:nvSpPr>
        <xdr:spPr>
          <a:xfrm>
            <a:off x="8127225" y="392969"/>
            <a:ext cx="894855" cy="376651"/>
          </a:xfrm>
          <a:prstGeom prst="rect">
            <a:avLst/>
          </a:prstGeom>
          <a:noFill/>
        </xdr:spPr>
        <xdr:txBody>
          <a:bodyPr wrap="square" lIns="91440" tIns="45720" rIns="91440" bIns="45720">
            <a:noAutofit/>
            <a:scene3d>
              <a:camera prst="obliqueTopLeft"/>
              <a:lightRig rig="threePt" dir="t"/>
            </a:scene3d>
          </a:bodyPr>
          <a:lstStyle/>
          <a:p>
            <a:pPr algn="ctr"/>
            <a:r>
              <a:rPr lang="en-US"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eca</a:t>
            </a:r>
            <a:endParaRPr lang="el-GR"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sp macro="" textlink="">
        <xdr:nvSpPr>
          <xdr:cNvPr id="32" name="31 - Έλλειψη"/>
          <xdr:cNvSpPr/>
        </xdr:nvSpPr>
        <xdr:spPr>
          <a:xfrm>
            <a:off x="7734300" y="83820"/>
            <a:ext cx="144000" cy="144000"/>
          </a:xfrm>
          <a:prstGeom prst="ellipse">
            <a:avLst/>
          </a:prstGeom>
          <a:solidFill>
            <a:srgbClr val="FFC000"/>
          </a:solidFill>
          <a:effectLst/>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l-G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137160</xdr:colOff>
      <xdr:row>137</xdr:row>
      <xdr:rowOff>7620</xdr:rowOff>
    </xdr:from>
    <xdr:to>
      <xdr:col>11</xdr:col>
      <xdr:colOff>441960</xdr:colOff>
      <xdr:row>139</xdr:row>
      <xdr:rowOff>0</xdr:rowOff>
    </xdr:to>
    <xdr:sp macro="" textlink="">
      <xdr:nvSpPr>
        <xdr:cNvPr id="2" name="1 - Δεξιό άγκιστρο"/>
        <xdr:cNvSpPr/>
      </xdr:nvSpPr>
      <xdr:spPr>
        <a:xfrm>
          <a:off x="6842760" y="24033480"/>
          <a:ext cx="304800" cy="3581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gzafeirakis.gr/energy-audit/&#965;&#960;&#959;&#955;&#959;&#947;&#953;&#963;&#964;&#953;&#954;&#972;-&#966;&#973;&#955;&#955;&#959;/" TargetMode="External"/><Relationship Id="rId7" Type="http://schemas.openxmlformats.org/officeDocument/2006/relationships/vmlDrawing" Target="../drawings/vmlDrawing1.vml"/><Relationship Id="rId2" Type="http://schemas.openxmlformats.org/officeDocument/2006/relationships/hyperlink" Target="http://www.gzafeirakis.gr/" TargetMode="External"/><Relationship Id="rId1" Type="http://schemas.openxmlformats.org/officeDocument/2006/relationships/hyperlink" Target="http://www.gzafeirakis.g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zafeirakis.gr/energy-audit/%cf%85%cf%80%ce%bf%ce%bb%ce%bf%ce%b3%ce%b9%cf%83%cf%84%ce%b9%ce%ba%cf%8c-%cf%86%cf%8d%ce%bb%ce%bb%ce%b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I131"/>
  <sheetViews>
    <sheetView tabSelected="1" defaultGridColor="0" colorId="24" zoomScaleNormal="100" workbookViewId="0">
      <selection activeCell="C3" sqref="C3:G3"/>
    </sheetView>
  </sheetViews>
  <sheetFormatPr defaultColWidth="8.88671875" defaultRowHeight="14.4"/>
  <cols>
    <col min="1" max="1" width="2.44140625" style="32" customWidth="1"/>
    <col min="2" max="2" width="19.33203125" style="32" customWidth="1"/>
    <col min="3" max="3" width="6.44140625" style="32" customWidth="1"/>
    <col min="4" max="4" width="5.44140625" style="32" customWidth="1"/>
    <col min="5" max="5" width="5.6640625" style="32" customWidth="1"/>
    <col min="6" max="6" width="6.33203125" style="32" customWidth="1"/>
    <col min="7" max="7" width="6.44140625" style="32" customWidth="1"/>
    <col min="8" max="8" width="6.33203125" style="32" customWidth="1"/>
    <col min="9" max="10" width="6" style="32" customWidth="1"/>
    <col min="11" max="11" width="5.88671875" style="32" customWidth="1"/>
    <col min="12" max="12" width="5.6640625" style="32" customWidth="1"/>
    <col min="13" max="13" width="5.33203125" style="32" customWidth="1"/>
    <col min="14" max="14" width="6" style="32" customWidth="1"/>
    <col min="15" max="19" width="6.33203125" style="32" customWidth="1"/>
    <col min="20" max="20" width="5.77734375" style="32" customWidth="1"/>
    <col min="21" max="22" width="8.88671875" style="32"/>
    <col min="23" max="23" width="7.33203125" style="32" customWidth="1"/>
    <col min="24" max="24" width="7.5546875" style="32" customWidth="1"/>
    <col min="25" max="26" width="6.33203125" style="32" customWidth="1"/>
    <col min="27" max="30" width="7.33203125" style="32" customWidth="1"/>
    <col min="31" max="39" width="8.88671875" style="125"/>
    <col min="40" max="40" width="8.88671875" style="32"/>
    <col min="41" max="48" width="8.88671875" style="32" hidden="1" customWidth="1"/>
    <col min="49" max="80" width="8.88671875" style="32"/>
    <col min="81" max="108" width="8.88671875" style="32" hidden="1" customWidth="1"/>
    <col min="109" max="109" width="0" style="32" hidden="1" customWidth="1"/>
    <col min="110" max="113" width="8.88671875" style="32" hidden="1" customWidth="1"/>
    <col min="114" max="116" width="0" style="32" hidden="1" customWidth="1"/>
    <col min="117" max="16384" width="8.88671875" style="32"/>
  </cols>
  <sheetData>
    <row r="1" spans="1:113" ht="15" customHeight="1" thickBot="1">
      <c r="A1" s="744" t="s">
        <v>296</v>
      </c>
      <c r="B1" s="744"/>
      <c r="C1" s="744"/>
      <c r="D1" s="744"/>
      <c r="E1" s="744"/>
      <c r="F1" s="744"/>
      <c r="G1" s="744"/>
      <c r="H1" s="744"/>
      <c r="I1" s="744"/>
      <c r="J1" s="744"/>
      <c r="K1" s="744"/>
      <c r="L1" s="30"/>
      <c r="M1" s="30"/>
      <c r="N1" s="30"/>
      <c r="O1" s="30"/>
      <c r="P1" s="30"/>
      <c r="Q1" s="31"/>
      <c r="R1" s="31"/>
      <c r="S1" s="31"/>
      <c r="T1" s="31"/>
      <c r="U1" s="724" t="s">
        <v>376</v>
      </c>
      <c r="V1" s="725"/>
      <c r="W1" s="725"/>
      <c r="X1" s="725"/>
      <c r="Y1" s="725"/>
      <c r="Z1" s="725"/>
      <c r="AA1" s="725"/>
      <c r="AB1" s="725"/>
      <c r="AC1" s="725"/>
      <c r="AD1" s="726"/>
      <c r="AE1" s="214"/>
      <c r="AF1" s="210"/>
      <c r="AG1" s="210"/>
      <c r="AH1" s="210"/>
      <c r="AI1" s="210"/>
      <c r="AJ1" s="210"/>
      <c r="AK1" s="210"/>
      <c r="AL1" s="210"/>
      <c r="AM1" s="210"/>
      <c r="AN1" s="215"/>
      <c r="AO1" s="215"/>
      <c r="AP1" s="215"/>
      <c r="AQ1" s="216" t="s">
        <v>157</v>
      </c>
      <c r="AR1" s="215"/>
      <c r="AS1" s="215"/>
      <c r="AT1" s="215"/>
      <c r="AU1" s="215"/>
      <c r="AV1" s="215" t="s">
        <v>295</v>
      </c>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3"/>
      <c r="BU1" s="213"/>
      <c r="BV1" s="213"/>
      <c r="BW1" s="213"/>
      <c r="BX1" s="213"/>
      <c r="BY1" s="213"/>
      <c r="BZ1" s="213"/>
      <c r="CA1" s="213"/>
      <c r="CC1" s="253" t="s">
        <v>479</v>
      </c>
      <c r="CH1" s="253" t="s">
        <v>480</v>
      </c>
      <c r="CM1" s="253" t="s">
        <v>480</v>
      </c>
      <c r="CR1" s="253" t="s">
        <v>490</v>
      </c>
      <c r="DA1" s="254" t="s">
        <v>475</v>
      </c>
      <c r="DF1" s="254" t="s">
        <v>537</v>
      </c>
      <c r="DI1" s="254" t="s">
        <v>538</v>
      </c>
    </row>
    <row r="2" spans="1:113" ht="14.4" customHeight="1">
      <c r="A2" s="745" t="s">
        <v>377</v>
      </c>
      <c r="B2" s="745"/>
      <c r="C2" s="745"/>
      <c r="D2" s="745"/>
      <c r="E2" s="745"/>
      <c r="F2" s="745"/>
      <c r="G2" s="745"/>
      <c r="H2" s="745"/>
      <c r="I2" s="745"/>
      <c r="J2" s="745"/>
      <c r="K2" s="745"/>
      <c r="L2" s="33"/>
      <c r="M2" s="30"/>
      <c r="N2" s="476" t="s">
        <v>651</v>
      </c>
      <c r="O2" s="476"/>
      <c r="P2" s="330" t="s">
        <v>649</v>
      </c>
      <c r="S2" s="34"/>
      <c r="U2" s="724"/>
      <c r="V2" s="725"/>
      <c r="W2" s="725"/>
      <c r="X2" s="725"/>
      <c r="Y2" s="725"/>
      <c r="Z2" s="725"/>
      <c r="AA2" s="725"/>
      <c r="AB2" s="725"/>
      <c r="AC2" s="725"/>
      <c r="AD2" s="726"/>
      <c r="AE2" s="214"/>
      <c r="AF2" s="210"/>
      <c r="AG2" s="210"/>
      <c r="AH2" s="210"/>
      <c r="AI2" s="210"/>
      <c r="AJ2" s="210"/>
      <c r="AK2" s="210"/>
      <c r="AL2" s="210"/>
      <c r="AM2" s="210"/>
      <c r="AN2" s="215"/>
      <c r="AO2" s="217" t="s">
        <v>141</v>
      </c>
      <c r="AP2" s="217" t="s">
        <v>140</v>
      </c>
      <c r="AQ2" s="215" t="s">
        <v>155</v>
      </c>
      <c r="AR2" s="215"/>
      <c r="AS2" s="215"/>
      <c r="AT2" s="215"/>
      <c r="AU2" s="215"/>
      <c r="AV2" s="215" t="s">
        <v>252</v>
      </c>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3"/>
      <c r="BU2" s="213"/>
      <c r="BV2" s="213"/>
      <c r="BW2" s="213"/>
      <c r="BX2" s="213"/>
      <c r="BY2" s="213"/>
      <c r="BZ2" s="213"/>
      <c r="CA2" s="213"/>
      <c r="CC2" s="253" t="s">
        <v>451</v>
      </c>
      <c r="CH2" s="253" t="s">
        <v>460</v>
      </c>
      <c r="CM2" s="253" t="s">
        <v>469</v>
      </c>
      <c r="CR2" s="253" t="s">
        <v>486</v>
      </c>
      <c r="DA2" s="253" t="s">
        <v>472</v>
      </c>
      <c r="DF2" s="253" t="s">
        <v>515</v>
      </c>
      <c r="DI2" s="253" t="s">
        <v>539</v>
      </c>
    </row>
    <row r="3" spans="1:113" ht="14.4" customHeight="1">
      <c r="A3" s="637" t="s">
        <v>358</v>
      </c>
      <c r="B3" s="172" t="s">
        <v>0</v>
      </c>
      <c r="C3" s="646" t="s">
        <v>355</v>
      </c>
      <c r="D3" s="647"/>
      <c r="E3" s="647"/>
      <c r="F3" s="647"/>
      <c r="G3" s="647"/>
      <c r="H3" s="754" t="s">
        <v>650</v>
      </c>
      <c r="I3" s="755"/>
      <c r="J3" s="755"/>
      <c r="K3" s="756"/>
      <c r="L3" s="715" t="s">
        <v>656</v>
      </c>
      <c r="M3" s="716"/>
      <c r="N3" s="485"/>
      <c r="O3" s="485"/>
      <c r="P3" s="477">
        <v>1</v>
      </c>
      <c r="Q3" s="34"/>
      <c r="U3" s="724"/>
      <c r="V3" s="725"/>
      <c r="W3" s="725"/>
      <c r="X3" s="725"/>
      <c r="Y3" s="725"/>
      <c r="Z3" s="725"/>
      <c r="AA3" s="725"/>
      <c r="AB3" s="725"/>
      <c r="AC3" s="725"/>
      <c r="AD3" s="726"/>
      <c r="AE3" s="214"/>
      <c r="AF3" s="210"/>
      <c r="AG3" s="210"/>
      <c r="AH3" s="210"/>
      <c r="AI3" s="210"/>
      <c r="AJ3" s="210"/>
      <c r="AK3" s="210"/>
      <c r="AL3" s="210"/>
      <c r="AM3" s="210"/>
      <c r="AN3" s="215"/>
      <c r="AO3" s="218" t="s">
        <v>136</v>
      </c>
      <c r="AP3" s="218" t="s">
        <v>142</v>
      </c>
      <c r="AQ3" s="215" t="s">
        <v>156</v>
      </c>
      <c r="AR3" s="215" t="s">
        <v>164</v>
      </c>
      <c r="AS3" s="215"/>
      <c r="AT3" s="215"/>
      <c r="AU3" s="215"/>
      <c r="AV3" s="215" t="s">
        <v>253</v>
      </c>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3"/>
      <c r="BU3" s="213"/>
      <c r="BV3" s="213"/>
      <c r="BW3" s="213"/>
      <c r="BX3" s="213"/>
      <c r="BY3" s="213"/>
      <c r="BZ3" s="213"/>
      <c r="CA3" s="213"/>
      <c r="CC3" s="253" t="s">
        <v>452</v>
      </c>
      <c r="CH3" s="253" t="s">
        <v>461</v>
      </c>
      <c r="CM3" s="253" t="s">
        <v>470</v>
      </c>
      <c r="CR3" s="253" t="s">
        <v>487</v>
      </c>
      <c r="DA3" s="253" t="s">
        <v>457</v>
      </c>
      <c r="DF3" s="253" t="s">
        <v>516</v>
      </c>
      <c r="DI3" s="259" t="s">
        <v>525</v>
      </c>
    </row>
    <row r="4" spans="1:113" ht="14.4" customHeight="1">
      <c r="A4" s="638"/>
      <c r="B4" s="173" t="s">
        <v>1</v>
      </c>
      <c r="C4" s="765" t="s">
        <v>378</v>
      </c>
      <c r="D4" s="766"/>
      <c r="E4" s="766"/>
      <c r="F4" s="766"/>
      <c r="G4" s="766"/>
      <c r="H4" s="757" t="s">
        <v>355</v>
      </c>
      <c r="I4" s="645"/>
      <c r="J4" s="645"/>
      <c r="K4" s="758"/>
      <c r="L4" s="715" t="s">
        <v>655</v>
      </c>
      <c r="M4" s="716"/>
      <c r="N4" s="485"/>
      <c r="O4" s="485"/>
      <c r="P4" s="478"/>
      <c r="Q4" s="34"/>
      <c r="U4" s="724"/>
      <c r="V4" s="725"/>
      <c r="W4" s="725"/>
      <c r="X4" s="725"/>
      <c r="Y4" s="725"/>
      <c r="Z4" s="725"/>
      <c r="AA4" s="725"/>
      <c r="AB4" s="725"/>
      <c r="AC4" s="725"/>
      <c r="AD4" s="726"/>
      <c r="AE4" s="214"/>
      <c r="AF4" s="210"/>
      <c r="AG4" s="210"/>
      <c r="AH4" s="210"/>
      <c r="AI4" s="210"/>
      <c r="AJ4" s="210"/>
      <c r="AK4" s="210"/>
      <c r="AL4" s="210"/>
      <c r="AM4" s="210"/>
      <c r="AN4" s="215"/>
      <c r="AO4" s="218" t="s">
        <v>137</v>
      </c>
      <c r="AP4" s="218" t="s">
        <v>143</v>
      </c>
      <c r="AQ4" s="215"/>
      <c r="AR4" s="215" t="s">
        <v>165</v>
      </c>
      <c r="AS4" s="215"/>
      <c r="AT4" s="215"/>
      <c r="AU4" s="215"/>
      <c r="AV4" s="215" t="s">
        <v>254</v>
      </c>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3"/>
      <c r="BU4" s="213"/>
      <c r="BV4" s="213"/>
      <c r="BW4" s="213"/>
      <c r="BX4" s="213"/>
      <c r="BY4" s="213"/>
      <c r="BZ4" s="213"/>
      <c r="CA4" s="213"/>
      <c r="CC4" s="253" t="s">
        <v>456</v>
      </c>
      <c r="CH4" s="253" t="s">
        <v>462</v>
      </c>
      <c r="CM4" s="253" t="s">
        <v>471</v>
      </c>
      <c r="CR4" s="253" t="s">
        <v>488</v>
      </c>
      <c r="DA4" s="253" t="s">
        <v>458</v>
      </c>
      <c r="DF4" s="253" t="s">
        <v>517</v>
      </c>
      <c r="DI4" s="253" t="s">
        <v>524</v>
      </c>
    </row>
    <row r="5" spans="1:113" ht="15.6">
      <c r="A5" s="638"/>
      <c r="B5" s="173" t="s">
        <v>2</v>
      </c>
      <c r="C5" s="765" t="s">
        <v>356</v>
      </c>
      <c r="D5" s="766"/>
      <c r="E5" s="766"/>
      <c r="F5" s="766"/>
      <c r="G5" s="766"/>
      <c r="H5" s="746" t="s">
        <v>544</v>
      </c>
      <c r="I5" s="747"/>
      <c r="J5" s="747"/>
      <c r="K5" s="748"/>
      <c r="L5" s="715" t="s">
        <v>248</v>
      </c>
      <c r="M5" s="716"/>
      <c r="N5" s="485"/>
      <c r="O5" s="485"/>
      <c r="P5" s="485"/>
      <c r="Q5" s="728" t="s">
        <v>448</v>
      </c>
      <c r="R5" s="728"/>
      <c r="S5" s="728"/>
      <c r="T5" s="729"/>
      <c r="U5" s="724"/>
      <c r="V5" s="725"/>
      <c r="W5" s="725"/>
      <c r="X5" s="725"/>
      <c r="Y5" s="725"/>
      <c r="Z5" s="725"/>
      <c r="AA5" s="725"/>
      <c r="AB5" s="725"/>
      <c r="AC5" s="725"/>
      <c r="AD5" s="726"/>
      <c r="AE5" s="214"/>
      <c r="AF5" s="210"/>
      <c r="AG5" s="210"/>
      <c r="AH5" s="210"/>
      <c r="AI5" s="210"/>
      <c r="AJ5" s="210"/>
      <c r="AK5" s="210"/>
      <c r="AL5" s="210"/>
      <c r="AM5" s="210"/>
      <c r="AN5" s="215"/>
      <c r="AO5" s="218" t="s">
        <v>138</v>
      </c>
      <c r="AP5" s="218" t="s">
        <v>144</v>
      </c>
      <c r="AQ5" s="215"/>
      <c r="AR5" s="215"/>
      <c r="AS5" s="215"/>
      <c r="AT5" s="215"/>
      <c r="AU5" s="215"/>
      <c r="AV5" s="215" t="s">
        <v>255</v>
      </c>
      <c r="AW5" s="215"/>
      <c r="AX5" s="215"/>
      <c r="AY5" s="215"/>
      <c r="AZ5" s="215"/>
      <c r="BA5" s="219"/>
      <c r="BB5" s="220"/>
      <c r="BC5" s="220"/>
      <c r="BD5" s="220"/>
      <c r="BE5" s="220"/>
      <c r="BF5" s="215"/>
      <c r="BG5" s="215"/>
      <c r="BH5" s="215"/>
      <c r="BI5" s="215"/>
      <c r="BJ5" s="215"/>
      <c r="BK5" s="215"/>
      <c r="BL5" s="215"/>
      <c r="BM5" s="215"/>
      <c r="BN5" s="215"/>
      <c r="BO5" s="215"/>
      <c r="BP5" s="215"/>
      <c r="BQ5" s="215"/>
      <c r="BR5" s="215"/>
      <c r="BS5" s="215"/>
      <c r="BT5" s="213"/>
      <c r="BU5" s="213"/>
      <c r="BV5" s="213"/>
      <c r="BW5" s="213"/>
      <c r="BX5" s="213"/>
      <c r="BY5" s="213"/>
      <c r="BZ5" s="213"/>
      <c r="CA5" s="213"/>
      <c r="CC5" s="253" t="s">
        <v>453</v>
      </c>
      <c r="CH5" s="253" t="s">
        <v>463</v>
      </c>
      <c r="CR5" s="253" t="s">
        <v>489</v>
      </c>
      <c r="DA5" s="253" t="s">
        <v>304</v>
      </c>
      <c r="DF5" s="253" t="s">
        <v>510</v>
      </c>
      <c r="DI5" s="253" t="s">
        <v>526</v>
      </c>
    </row>
    <row r="6" spans="1:113" ht="15" thickBot="1">
      <c r="A6" s="639"/>
      <c r="B6" s="174" t="s">
        <v>3</v>
      </c>
      <c r="C6" s="767" t="s">
        <v>357</v>
      </c>
      <c r="D6" s="768"/>
      <c r="E6" s="768"/>
      <c r="F6" s="768"/>
      <c r="G6" s="768"/>
      <c r="H6" s="759" t="s">
        <v>545</v>
      </c>
      <c r="I6" s="760"/>
      <c r="J6" s="760"/>
      <c r="K6" s="761"/>
      <c r="L6" s="715" t="s">
        <v>249</v>
      </c>
      <c r="M6" s="716"/>
      <c r="N6" s="485"/>
      <c r="O6" s="485"/>
      <c r="P6" s="485"/>
      <c r="Q6" s="730" t="s">
        <v>221</v>
      </c>
      <c r="R6" s="731"/>
      <c r="S6" s="731"/>
      <c r="T6" s="731"/>
      <c r="U6" s="724"/>
      <c r="V6" s="725"/>
      <c r="W6" s="725"/>
      <c r="X6" s="725"/>
      <c r="Y6" s="725"/>
      <c r="Z6" s="725"/>
      <c r="AA6" s="725"/>
      <c r="AB6" s="725"/>
      <c r="AC6" s="725"/>
      <c r="AD6" s="726"/>
      <c r="AE6" s="214"/>
      <c r="AF6" s="210"/>
      <c r="AG6" s="210"/>
      <c r="AH6" s="210"/>
      <c r="AI6" s="210"/>
      <c r="AJ6" s="210"/>
      <c r="AK6" s="210"/>
      <c r="AL6" s="210"/>
      <c r="AM6" s="210"/>
      <c r="AN6" s="215"/>
      <c r="AO6" s="221" t="s">
        <v>139</v>
      </c>
      <c r="AP6" s="218" t="s">
        <v>145</v>
      </c>
      <c r="AQ6" s="215"/>
      <c r="AR6" s="215" t="s">
        <v>168</v>
      </c>
      <c r="AS6" s="215"/>
      <c r="AT6" s="215"/>
      <c r="AU6" s="215"/>
      <c r="AV6" s="215" t="s">
        <v>256</v>
      </c>
      <c r="AW6" s="215"/>
      <c r="AX6" s="215"/>
      <c r="AY6" s="215"/>
      <c r="AZ6" s="215"/>
      <c r="BA6" s="220"/>
      <c r="BB6" s="220"/>
      <c r="BC6" s="220"/>
      <c r="BD6" s="220"/>
      <c r="BE6" s="220"/>
      <c r="BF6" s="215"/>
      <c r="BG6" s="215"/>
      <c r="BH6" s="215"/>
      <c r="BI6" s="215"/>
      <c r="BJ6" s="215"/>
      <c r="BK6" s="215"/>
      <c r="BL6" s="215"/>
      <c r="BM6" s="215"/>
      <c r="BN6" s="215"/>
      <c r="BO6" s="215"/>
      <c r="BP6" s="215"/>
      <c r="BQ6" s="215"/>
      <c r="BR6" s="215"/>
      <c r="BS6" s="215"/>
      <c r="BT6" s="213"/>
      <c r="BU6" s="213"/>
      <c r="BV6" s="213"/>
      <c r="BW6" s="213"/>
      <c r="BX6" s="213"/>
      <c r="BY6" s="213"/>
      <c r="BZ6" s="213"/>
      <c r="CA6" s="213"/>
      <c r="CC6" s="253" t="s">
        <v>454</v>
      </c>
      <c r="CH6" s="253" t="s">
        <v>464</v>
      </c>
      <c r="CM6" s="254" t="s">
        <v>478</v>
      </c>
      <c r="CP6" s="32" t="s">
        <v>495</v>
      </c>
      <c r="DA6" s="253" t="s">
        <v>459</v>
      </c>
      <c r="DF6" s="253" t="s">
        <v>518</v>
      </c>
      <c r="DI6" s="253" t="s">
        <v>527</v>
      </c>
    </row>
    <row r="7" spans="1:113" ht="15" thickBot="1">
      <c r="K7" s="34"/>
      <c r="L7" s="644" t="s">
        <v>250</v>
      </c>
      <c r="M7" s="716"/>
      <c r="N7" s="485"/>
      <c r="O7" s="485"/>
      <c r="P7" s="485"/>
      <c r="Q7" s="732" t="s">
        <v>301</v>
      </c>
      <c r="R7" s="733"/>
      <c r="S7" s="733"/>
      <c r="T7" s="733"/>
      <c r="U7" s="724"/>
      <c r="V7" s="725"/>
      <c r="W7" s="725"/>
      <c r="X7" s="725"/>
      <c r="Y7" s="725"/>
      <c r="Z7" s="725"/>
      <c r="AA7" s="725"/>
      <c r="AB7" s="725"/>
      <c r="AC7" s="725"/>
      <c r="AD7" s="726"/>
      <c r="AE7" s="214"/>
      <c r="AF7" s="210"/>
      <c r="AG7" s="210"/>
      <c r="AH7" s="210"/>
      <c r="AI7" s="210"/>
      <c r="AJ7" s="210"/>
      <c r="AK7" s="210"/>
      <c r="AL7" s="210"/>
      <c r="AM7" s="210"/>
      <c r="AN7" s="215"/>
      <c r="AO7" s="215"/>
      <c r="AP7" s="221" t="s">
        <v>146</v>
      </c>
      <c r="AQ7" s="215"/>
      <c r="AR7" s="215" t="s">
        <v>169</v>
      </c>
      <c r="AS7" s="215"/>
      <c r="AT7" s="215"/>
      <c r="AU7" s="215"/>
      <c r="AV7" s="215" t="s">
        <v>257</v>
      </c>
      <c r="AW7" s="215"/>
      <c r="AX7" s="215"/>
      <c r="AY7" s="215"/>
      <c r="AZ7" s="215"/>
      <c r="BA7" s="222"/>
      <c r="BB7" s="220"/>
      <c r="BC7" s="220"/>
      <c r="BD7" s="220"/>
      <c r="BE7" s="222"/>
      <c r="BF7" s="215"/>
      <c r="BG7" s="215"/>
      <c r="BH7" s="215"/>
      <c r="BI7" s="215"/>
      <c r="BJ7" s="215"/>
      <c r="BK7" s="215"/>
      <c r="BL7" s="215"/>
      <c r="BM7" s="215"/>
      <c r="BN7" s="215"/>
      <c r="BO7" s="215"/>
      <c r="BP7" s="215"/>
      <c r="BQ7" s="215"/>
      <c r="BR7" s="215"/>
      <c r="BS7" s="215"/>
      <c r="BT7" s="213"/>
      <c r="BU7" s="213"/>
      <c r="BV7" s="213"/>
      <c r="BW7" s="213"/>
      <c r="BX7" s="213"/>
      <c r="BY7" s="213"/>
      <c r="BZ7" s="213"/>
      <c r="CA7" s="213"/>
      <c r="CC7" s="253" t="s">
        <v>455</v>
      </c>
      <c r="CH7" s="253" t="s">
        <v>465</v>
      </c>
      <c r="CM7" s="253" t="s">
        <v>482</v>
      </c>
      <c r="CP7" s="32" t="s">
        <v>496</v>
      </c>
      <c r="CR7" s="253" t="s">
        <v>492</v>
      </c>
      <c r="DA7" s="253" t="s">
        <v>468</v>
      </c>
      <c r="DI7" s="253" t="s">
        <v>528</v>
      </c>
    </row>
    <row r="8" spans="1:113">
      <c r="A8" s="642" t="s">
        <v>130</v>
      </c>
      <c r="B8" s="642"/>
      <c r="C8" s="640" t="s">
        <v>667</v>
      </c>
      <c r="D8" s="640"/>
      <c r="E8" s="640"/>
      <c r="F8" s="743" t="s">
        <v>295</v>
      </c>
      <c r="G8" s="743"/>
      <c r="H8" s="743"/>
      <c r="I8" s="743"/>
      <c r="J8" s="743"/>
      <c r="K8" s="743"/>
      <c r="L8" s="735" t="s">
        <v>668</v>
      </c>
      <c r="M8" s="735"/>
      <c r="N8" s="762" t="s">
        <v>725</v>
      </c>
      <c r="O8" s="762"/>
      <c r="P8" s="762"/>
      <c r="Q8" s="734"/>
      <c r="R8" s="734"/>
      <c r="S8" s="734"/>
      <c r="T8" s="734"/>
      <c r="U8" s="297"/>
      <c r="V8" s="723" t="s">
        <v>704</v>
      </c>
      <c r="W8" s="723"/>
      <c r="X8" s="723"/>
      <c r="Y8" s="723"/>
      <c r="Z8" s="723"/>
      <c r="AA8" s="723"/>
      <c r="AB8" s="723"/>
      <c r="AC8" s="723"/>
      <c r="AD8" s="35"/>
      <c r="AE8" s="214"/>
      <c r="AF8" s="210"/>
      <c r="AG8" s="210"/>
      <c r="AH8" s="210"/>
      <c r="AI8" s="210"/>
      <c r="AJ8" s="210"/>
      <c r="AK8" s="210"/>
      <c r="AL8" s="210"/>
      <c r="AM8" s="210"/>
      <c r="AN8" s="215"/>
      <c r="AO8" s="215"/>
      <c r="AP8" s="215"/>
      <c r="AQ8" s="215"/>
      <c r="AR8" s="215" t="s">
        <v>170</v>
      </c>
      <c r="AS8" s="215"/>
      <c r="AT8" s="215"/>
      <c r="AU8" s="215"/>
      <c r="AV8" s="215" t="s">
        <v>258</v>
      </c>
      <c r="AW8" s="215"/>
      <c r="AX8" s="215"/>
      <c r="AY8" s="215"/>
      <c r="AZ8" s="215"/>
      <c r="BA8" s="223"/>
      <c r="BB8" s="215"/>
      <c r="BC8" s="224"/>
      <c r="BD8" s="215"/>
      <c r="BE8" s="215"/>
      <c r="BF8" s="215"/>
      <c r="BG8" s="215"/>
      <c r="BH8" s="215"/>
      <c r="BI8" s="215"/>
      <c r="BJ8" s="215"/>
      <c r="BK8" s="215"/>
      <c r="BL8" s="215"/>
      <c r="BM8" s="215"/>
      <c r="BN8" s="215"/>
      <c r="BO8" s="215"/>
      <c r="BP8" s="215"/>
      <c r="BQ8" s="215"/>
      <c r="BR8" s="215"/>
      <c r="BS8" s="215"/>
      <c r="BT8" s="213"/>
      <c r="BU8" s="213"/>
      <c r="BV8" s="213"/>
      <c r="BW8" s="213"/>
      <c r="BX8" s="213"/>
      <c r="BY8" s="213"/>
      <c r="BZ8" s="213"/>
      <c r="CA8" s="213"/>
      <c r="CH8" s="253" t="s">
        <v>466</v>
      </c>
      <c r="CM8" s="253" t="s">
        <v>477</v>
      </c>
      <c r="CP8" s="32" t="s">
        <v>497</v>
      </c>
      <c r="CR8" s="253" t="s">
        <v>493</v>
      </c>
      <c r="DA8" s="253" t="s">
        <v>507</v>
      </c>
      <c r="DF8" s="254" t="s">
        <v>537</v>
      </c>
      <c r="DI8" s="253" t="s">
        <v>529</v>
      </c>
    </row>
    <row r="9" spans="1:113">
      <c r="A9" s="640" t="s">
        <v>657</v>
      </c>
      <c r="B9" s="640"/>
      <c r="C9" s="640"/>
      <c r="D9" s="640"/>
      <c r="E9" s="640"/>
      <c r="F9" s="318"/>
      <c r="G9" s="319" t="str">
        <f>IF(F9&gt;1000," "," [ΕΕΕΕ]")</f>
        <v xml:space="preserve"> [ΕΕΕΕ]</v>
      </c>
      <c r="H9" s="641" t="s">
        <v>658</v>
      </c>
      <c r="I9" s="641"/>
      <c r="J9" s="641"/>
      <c r="K9" s="641"/>
      <c r="L9" s="641"/>
      <c r="M9" s="641"/>
      <c r="N9" s="643" t="s">
        <v>246</v>
      </c>
      <c r="O9" s="643"/>
      <c r="P9" s="763" t="s">
        <v>251</v>
      </c>
      <c r="Q9" s="763"/>
      <c r="R9" s="763"/>
      <c r="S9" s="763"/>
      <c r="T9" s="763"/>
      <c r="U9" s="297"/>
      <c r="V9" s="34"/>
      <c r="W9" s="34"/>
      <c r="X9" s="34"/>
      <c r="Y9" s="34"/>
      <c r="Z9" s="34"/>
      <c r="AA9" s="34"/>
      <c r="AB9" s="34"/>
      <c r="AC9" s="34"/>
      <c r="AD9" s="36"/>
      <c r="AE9" s="214"/>
      <c r="AF9" s="210"/>
      <c r="AG9" s="210"/>
      <c r="AH9" s="210"/>
      <c r="AI9" s="210"/>
      <c r="AJ9" s="210"/>
      <c r="AK9" s="210"/>
      <c r="AL9" s="210"/>
      <c r="AM9" s="210"/>
      <c r="AN9" s="215"/>
      <c r="AO9" s="215"/>
      <c r="AP9" s="215"/>
      <c r="AQ9" s="215"/>
      <c r="AR9" s="215" t="s">
        <v>171</v>
      </c>
      <c r="AS9" s="215"/>
      <c r="AT9" s="215"/>
      <c r="AU9" s="215"/>
      <c r="AV9" s="215" t="s">
        <v>259</v>
      </c>
      <c r="AW9" s="215"/>
      <c r="AX9" s="215"/>
      <c r="AY9" s="215"/>
      <c r="AZ9" s="215"/>
      <c r="BA9" s="223"/>
      <c r="BB9" s="215"/>
      <c r="BC9" s="215"/>
      <c r="BD9" s="215"/>
      <c r="BE9" s="215"/>
      <c r="BF9" s="215"/>
      <c r="BG9" s="215"/>
      <c r="BH9" s="215"/>
      <c r="BI9" s="215"/>
      <c r="BJ9" s="215"/>
      <c r="BK9" s="215"/>
      <c r="BL9" s="215"/>
      <c r="BM9" s="215"/>
      <c r="BN9" s="215"/>
      <c r="BO9" s="215"/>
      <c r="BP9" s="215"/>
      <c r="BQ9" s="215"/>
      <c r="BR9" s="215"/>
      <c r="BS9" s="215"/>
      <c r="BT9" s="213"/>
      <c r="BU9" s="213"/>
      <c r="BV9" s="213"/>
      <c r="BW9" s="213"/>
      <c r="BX9" s="213"/>
      <c r="BY9" s="213"/>
      <c r="BZ9" s="213"/>
      <c r="CA9" s="213"/>
      <c r="CC9" s="253" t="s">
        <v>508</v>
      </c>
      <c r="CH9" s="253" t="s">
        <v>467</v>
      </c>
      <c r="CM9" s="253"/>
      <c r="CP9" s="32" t="s">
        <v>498</v>
      </c>
      <c r="CR9" s="253" t="s">
        <v>487</v>
      </c>
      <c r="DA9" s="253" t="s">
        <v>473</v>
      </c>
      <c r="DF9" s="253" t="s">
        <v>515</v>
      </c>
      <c r="DI9" s="253" t="s">
        <v>530</v>
      </c>
    </row>
    <row r="10" spans="1:113" ht="14.4" customHeight="1">
      <c r="A10" s="640" t="s">
        <v>659</v>
      </c>
      <c r="B10" s="640"/>
      <c r="C10" s="645" t="str">
        <f>IFERROR(IF(F8="μονοκατοικια, πολυκατοικια","υπνοδωματια:",IF(INDEX(sys!H50:H92,MATCH(F8,sys!B50:B92,0))="-","εμβαδον (τμ):","αριθμ. Κλινων:")),"-")</f>
        <v>-</v>
      </c>
      <c r="D10" s="645"/>
      <c r="E10" s="645"/>
      <c r="F10" s="316" t="s">
        <v>246</v>
      </c>
      <c r="G10" s="644" t="str">
        <f>IFERROR(IF(F8="μονοκατοικια, πολυκατοικια","κμ/υπν/ετος:",IF(INDEX(sys!H50:H92,MATCH(F8,sys!B50:B92,0))="-","κμ/τμ/ετος:","κμ/κλ./ετος:")),"-")</f>
        <v>-</v>
      </c>
      <c r="H10" s="644"/>
      <c r="I10" s="317" t="str">
        <f>IFERROR(IF(INDEX(sys!H50:H92,MATCH(F8,sys!B50:B92,0))="-",INDEX(sys!I50:I92,MATCH(F8,sys!B50:B92,0)),INDEX(sys!H50:H92,MATCH(F8,sys!B50:B92,0))),"-")</f>
        <v>-</v>
      </c>
      <c r="J10" s="301"/>
      <c r="K10" s="641" t="s">
        <v>660</v>
      </c>
      <c r="L10" s="641"/>
      <c r="M10" s="641"/>
      <c r="N10" s="664">
        <f>IFERROR(F10*I10,0)</f>
        <v>0</v>
      </c>
      <c r="O10" s="664"/>
      <c r="P10" s="821" t="s">
        <v>644</v>
      </c>
      <c r="Q10" s="822"/>
      <c r="R10" s="822"/>
      <c r="S10" s="822"/>
      <c r="T10" s="822"/>
      <c r="U10" s="297"/>
      <c r="V10" s="34"/>
      <c r="W10" s="34"/>
      <c r="X10" s="34"/>
      <c r="Y10" s="34"/>
      <c r="Z10" s="34"/>
      <c r="AA10" s="34"/>
      <c r="AB10" s="34"/>
      <c r="AC10" s="34"/>
      <c r="AD10" s="36"/>
      <c r="AE10" s="214"/>
      <c r="AF10" s="210"/>
      <c r="AG10" s="210"/>
      <c r="AH10" s="210"/>
      <c r="AI10" s="210"/>
      <c r="AJ10" s="210"/>
      <c r="AK10" s="210"/>
      <c r="AL10" s="210"/>
      <c r="AM10" s="210"/>
      <c r="AN10" s="215"/>
      <c r="AO10" s="215"/>
      <c r="AP10" s="215"/>
      <c r="AQ10" s="215"/>
      <c r="AR10" s="215"/>
      <c r="AS10" s="215"/>
      <c r="AT10" s="215"/>
      <c r="AU10" s="215"/>
      <c r="AV10" s="215" t="s">
        <v>260</v>
      </c>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3"/>
      <c r="BU10" s="213"/>
      <c r="BV10" s="213"/>
      <c r="BW10" s="213"/>
      <c r="BX10" s="213"/>
      <c r="BY10" s="213"/>
      <c r="BZ10" s="213"/>
      <c r="CA10" s="213"/>
      <c r="CC10" s="253" t="s">
        <v>509</v>
      </c>
      <c r="CM10" s="254" t="s">
        <v>481</v>
      </c>
      <c r="CP10" s="32" t="s">
        <v>499</v>
      </c>
      <c r="CR10" s="253" t="s">
        <v>494</v>
      </c>
      <c r="DA10" s="253" t="s">
        <v>474</v>
      </c>
      <c r="DF10" s="253" t="s">
        <v>518</v>
      </c>
    </row>
    <row r="11" spans="1:113" ht="14.4" customHeight="1">
      <c r="A11" s="640" t="s">
        <v>661</v>
      </c>
      <c r="B11" s="640"/>
      <c r="C11" s="640"/>
      <c r="D11" s="641" t="s">
        <v>662</v>
      </c>
      <c r="E11" s="641"/>
      <c r="F11" s="127">
        <v>0</v>
      </c>
      <c r="G11" s="644" t="s">
        <v>663</v>
      </c>
      <c r="H11" s="644"/>
      <c r="I11" s="127">
        <v>0</v>
      </c>
      <c r="J11" s="301"/>
      <c r="K11" s="641" t="s">
        <v>664</v>
      </c>
      <c r="L11" s="641"/>
      <c r="M11" s="641"/>
      <c r="N11" s="664">
        <f>F11*I11</f>
        <v>0</v>
      </c>
      <c r="O11" s="664"/>
      <c r="P11" s="822"/>
      <c r="Q11" s="822"/>
      <c r="R11" s="822"/>
      <c r="S11" s="822"/>
      <c r="T11" s="822"/>
      <c r="U11" s="297"/>
      <c r="V11" s="34"/>
      <c r="W11" s="34"/>
      <c r="X11" s="34"/>
      <c r="Y11" s="34"/>
      <c r="Z11" s="34"/>
      <c r="AA11" s="34"/>
      <c r="AB11" s="34"/>
      <c r="AC11" s="34"/>
      <c r="AD11" s="36"/>
      <c r="AE11" s="214"/>
      <c r="AF11" s="210"/>
      <c r="AG11" s="210"/>
      <c r="AH11" s="210"/>
      <c r="AI11" s="210"/>
      <c r="AJ11" s="210"/>
      <c r="AK11" s="210"/>
      <c r="AL11" s="210"/>
      <c r="AM11" s="210"/>
      <c r="AN11" s="215"/>
      <c r="AO11" s="215"/>
      <c r="AP11" s="215"/>
      <c r="AQ11" s="215"/>
      <c r="AR11" s="215" t="s">
        <v>166</v>
      </c>
      <c r="AS11" s="215"/>
      <c r="AT11" s="215"/>
      <c r="AU11" s="215"/>
      <c r="AV11" s="215" t="s">
        <v>261</v>
      </c>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3"/>
      <c r="BU11" s="213"/>
      <c r="BV11" s="213"/>
      <c r="BW11" s="213"/>
      <c r="BX11" s="213"/>
      <c r="BY11" s="213"/>
      <c r="BZ11" s="213"/>
      <c r="CA11" s="213"/>
      <c r="CC11" s="253" t="s">
        <v>510</v>
      </c>
      <c r="CM11" s="253" t="s">
        <v>483</v>
      </c>
      <c r="CR11" s="253" t="s">
        <v>488</v>
      </c>
    </row>
    <row r="12" spans="1:113" ht="14.4" customHeight="1">
      <c r="A12" s="689" t="s">
        <v>665</v>
      </c>
      <c r="B12" s="689"/>
      <c r="C12" s="689"/>
      <c r="D12" s="648" t="s">
        <v>662</v>
      </c>
      <c r="E12" s="648"/>
      <c r="F12" s="303">
        <v>0</v>
      </c>
      <c r="G12" s="764" t="s">
        <v>663</v>
      </c>
      <c r="H12" s="764"/>
      <c r="I12" s="303">
        <v>0</v>
      </c>
      <c r="J12" s="302"/>
      <c r="K12" s="648" t="s">
        <v>666</v>
      </c>
      <c r="L12" s="648"/>
      <c r="M12" s="648"/>
      <c r="N12" s="691">
        <f>F12*I12</f>
        <v>0</v>
      </c>
      <c r="O12" s="691"/>
      <c r="P12" s="823"/>
      <c r="Q12" s="823"/>
      <c r="R12" s="823"/>
      <c r="S12" s="823"/>
      <c r="T12" s="823"/>
      <c r="U12" s="297"/>
      <c r="V12" s="34"/>
      <c r="W12" s="34"/>
      <c r="X12" s="34"/>
      <c r="Y12" s="34"/>
      <c r="Z12" s="34"/>
      <c r="AA12" s="34"/>
      <c r="AB12" s="34"/>
      <c r="AC12" s="34"/>
      <c r="AD12" s="36"/>
      <c r="AE12" s="717" t="s">
        <v>313</v>
      </c>
      <c r="AF12" s="718"/>
      <c r="AG12" s="718"/>
      <c r="AH12" s="718"/>
      <c r="AI12" s="718"/>
      <c r="AJ12" s="718"/>
      <c r="AK12" s="718"/>
      <c r="AL12" s="718"/>
      <c r="AM12" s="718"/>
      <c r="AN12" s="215"/>
      <c r="AO12" s="215"/>
      <c r="AP12" s="215"/>
      <c r="AQ12" s="215"/>
      <c r="AR12" s="215" t="s">
        <v>167</v>
      </c>
      <c r="AS12" s="215"/>
      <c r="AT12" s="215"/>
      <c r="AU12" s="215"/>
      <c r="AV12" s="215" t="s">
        <v>262</v>
      </c>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3"/>
      <c r="BU12" s="213"/>
      <c r="BV12" s="213"/>
      <c r="BW12" s="213"/>
      <c r="BX12" s="213"/>
      <c r="BY12" s="213"/>
      <c r="BZ12" s="213"/>
      <c r="CA12" s="213"/>
      <c r="CC12" s="253" t="s">
        <v>511</v>
      </c>
      <c r="CM12" s="253" t="s">
        <v>484</v>
      </c>
      <c r="CP12" s="255" t="s">
        <v>500</v>
      </c>
      <c r="CR12" s="253" t="s">
        <v>489</v>
      </c>
    </row>
    <row r="13" spans="1:113" ht="14.4" customHeight="1" thickBot="1">
      <c r="A13" s="828" t="s">
        <v>706</v>
      </c>
      <c r="B13" s="829"/>
      <c r="C13" s="817" t="s">
        <v>637</v>
      </c>
      <c r="D13" s="818"/>
      <c r="E13" s="306" t="s">
        <v>694</v>
      </c>
      <c r="F13" s="321">
        <f>SUMIFS(G38:G49,J38:J49,"ειδος Α",E38:E49,0)</f>
        <v>0</v>
      </c>
      <c r="G13" s="307" t="s">
        <v>645</v>
      </c>
      <c r="H13" s="311" t="str">
        <f>sys!Q229</f>
        <v>-</v>
      </c>
      <c r="I13" s="819" t="s">
        <v>646</v>
      </c>
      <c r="J13" s="820"/>
      <c r="K13" s="321">
        <f>SUMIF(J38:J49,"ειδος Α",G38:G49)-F13</f>
        <v>0</v>
      </c>
      <c r="L13" s="307" t="s">
        <v>643</v>
      </c>
      <c r="M13" s="311" t="str">
        <f>sys!Q230</f>
        <v>-</v>
      </c>
      <c r="N13" s="692" t="s">
        <v>707</v>
      </c>
      <c r="O13" s="487"/>
      <c r="P13" s="320">
        <f>SUMIF(J38:J49,"ειδος Β",G38:G49)</f>
        <v>0</v>
      </c>
      <c r="Q13" s="312" t="s">
        <v>654</v>
      </c>
      <c r="R13" s="313"/>
      <c r="S13" s="339" t="s">
        <v>710</v>
      </c>
      <c r="T13" s="310" t="str">
        <f>IFERROR(F13*H13+K13*M13+P13*R13+R14*T14,"-")</f>
        <v>-</v>
      </c>
      <c r="U13" s="34"/>
      <c r="V13" s="34"/>
      <c r="W13" s="34"/>
      <c r="X13" s="34"/>
      <c r="Y13" s="34"/>
      <c r="Z13" s="34"/>
      <c r="AA13" s="34"/>
      <c r="AB13" s="34"/>
      <c r="AC13" s="34"/>
      <c r="AD13" s="36"/>
      <c r="AE13" s="717"/>
      <c r="AF13" s="718"/>
      <c r="AG13" s="718"/>
      <c r="AH13" s="718"/>
      <c r="AI13" s="718"/>
      <c r="AJ13" s="718"/>
      <c r="AK13" s="718"/>
      <c r="AL13" s="718"/>
      <c r="AM13" s="718"/>
      <c r="AN13" s="215"/>
      <c r="AO13" s="215"/>
      <c r="AP13" s="215"/>
      <c r="AQ13" s="215"/>
      <c r="AR13" s="215"/>
      <c r="AS13" s="215"/>
      <c r="AT13" s="215"/>
      <c r="AU13" s="215"/>
      <c r="AV13" s="215" t="s">
        <v>263</v>
      </c>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3"/>
      <c r="BU13" s="213"/>
      <c r="BV13" s="213"/>
      <c r="BW13" s="213"/>
      <c r="BX13" s="213"/>
      <c r="BY13" s="213"/>
      <c r="BZ13" s="213"/>
      <c r="CA13" s="213"/>
      <c r="CM13" s="253" t="s">
        <v>485</v>
      </c>
    </row>
    <row r="14" spans="1:113" ht="14.4" customHeight="1" thickTop="1" thickBot="1">
      <c r="A14" s="814" t="s">
        <v>628</v>
      </c>
      <c r="B14" s="815"/>
      <c r="C14" s="815"/>
      <c r="D14" s="815"/>
      <c r="E14" s="815"/>
      <c r="F14" s="816"/>
      <c r="G14" s="452" t="s">
        <v>723</v>
      </c>
      <c r="H14" s="304" t="s">
        <v>566</v>
      </c>
      <c r="I14" s="687" t="s">
        <v>622</v>
      </c>
      <c r="J14" s="688"/>
      <c r="K14" s="688"/>
      <c r="L14" s="688"/>
      <c r="M14" s="688"/>
      <c r="N14" s="688"/>
      <c r="O14" s="453" t="s">
        <v>724</v>
      </c>
      <c r="P14" s="486" t="s">
        <v>708</v>
      </c>
      <c r="Q14" s="487"/>
      <c r="R14" s="314">
        <f>SUMIF(J38:J49,"ειδος Γ",G38:G49)</f>
        <v>0</v>
      </c>
      <c r="S14" s="314" t="s">
        <v>654</v>
      </c>
      <c r="T14" s="315"/>
      <c r="U14" s="297"/>
      <c r="V14" s="34"/>
      <c r="W14" s="34"/>
      <c r="X14" s="34"/>
      <c r="Y14" s="34"/>
      <c r="Z14" s="34"/>
      <c r="AA14" s="34"/>
      <c r="AB14" s="34"/>
      <c r="AC14" s="34"/>
      <c r="AD14" s="36"/>
      <c r="AE14" s="782" t="s">
        <v>447</v>
      </c>
      <c r="AF14" s="783"/>
      <c r="AG14" s="783"/>
      <c r="AH14" s="783"/>
      <c r="AI14" s="784"/>
      <c r="AJ14" s="783"/>
      <c r="AK14" s="783"/>
      <c r="AL14" s="783"/>
      <c r="AM14" s="783"/>
      <c r="AN14" s="779" t="s">
        <v>389</v>
      </c>
      <c r="AO14" s="780"/>
      <c r="AP14" s="780"/>
      <c r="AQ14" s="780"/>
      <c r="AR14" s="780"/>
      <c r="AS14" s="780"/>
      <c r="AT14" s="780"/>
      <c r="AU14" s="780"/>
      <c r="AV14" s="780"/>
      <c r="AW14" s="780"/>
      <c r="AX14" s="781"/>
      <c r="AY14" s="779" t="s">
        <v>395</v>
      </c>
      <c r="AZ14" s="780"/>
      <c r="BA14" s="780"/>
      <c r="BB14" s="780"/>
      <c r="BC14" s="780"/>
      <c r="BD14" s="781"/>
      <c r="BE14" s="779" t="s">
        <v>408</v>
      </c>
      <c r="BF14" s="780"/>
      <c r="BG14" s="780"/>
      <c r="BH14" s="780"/>
      <c r="BI14" s="780"/>
      <c r="BJ14" s="781"/>
      <c r="BK14" s="779" t="s">
        <v>409</v>
      </c>
      <c r="BL14" s="780"/>
      <c r="BM14" s="780"/>
      <c r="BN14" s="781"/>
      <c r="BO14" s="779" t="s">
        <v>412</v>
      </c>
      <c r="BP14" s="780"/>
      <c r="BQ14" s="780"/>
      <c r="BR14" s="780"/>
      <c r="BS14" s="780"/>
      <c r="BT14" s="780"/>
      <c r="BU14" s="779" t="s">
        <v>414</v>
      </c>
      <c r="BV14" s="780"/>
      <c r="BW14" s="780"/>
      <c r="BX14" s="780"/>
      <c r="BY14" s="780"/>
      <c r="BZ14" s="781"/>
      <c r="CA14" s="213"/>
    </row>
    <row r="15" spans="1:113" ht="15" thickTop="1">
      <c r="A15" s="642" t="s">
        <v>696</v>
      </c>
      <c r="B15" s="642"/>
      <c r="C15" s="642"/>
      <c r="D15" s="642"/>
      <c r="E15" s="642"/>
      <c r="F15" s="642"/>
      <c r="G15" s="705"/>
      <c r="H15" s="273" t="s">
        <v>565</v>
      </c>
      <c r="I15" s="701" t="s">
        <v>479</v>
      </c>
      <c r="J15" s="702"/>
      <c r="K15" s="702"/>
      <c r="L15" s="702"/>
      <c r="M15" s="702"/>
      <c r="N15" s="703"/>
      <c r="O15" s="690" t="s">
        <v>449</v>
      </c>
      <c r="P15" s="690"/>
      <c r="Q15" s="690"/>
      <c r="R15" s="690"/>
      <c r="S15" s="690"/>
      <c r="T15" s="690"/>
      <c r="U15" s="739" t="s">
        <v>379</v>
      </c>
      <c r="V15" s="740"/>
      <c r="W15" s="740"/>
      <c r="X15" s="740"/>
      <c r="Y15" s="740"/>
      <c r="Z15" s="740"/>
      <c r="AA15" s="740" t="s">
        <v>307</v>
      </c>
      <c r="AB15" s="740"/>
      <c r="AC15" s="740"/>
      <c r="AD15" s="824"/>
      <c r="AE15" s="252" t="s">
        <v>15</v>
      </c>
      <c r="AF15" s="741" t="s">
        <v>16</v>
      </c>
      <c r="AG15" s="741"/>
      <c r="AH15" s="741" t="s">
        <v>18</v>
      </c>
      <c r="AI15" s="742"/>
      <c r="AJ15" s="785" t="s">
        <v>375</v>
      </c>
      <c r="AK15" s="778"/>
      <c r="AL15" s="778"/>
      <c r="AM15" s="786"/>
      <c r="AN15" s="209"/>
      <c r="AO15" s="210"/>
      <c r="AP15" s="210"/>
      <c r="AQ15" s="210"/>
      <c r="AR15" s="210"/>
      <c r="AS15" s="210"/>
      <c r="AT15" s="210"/>
      <c r="AU15" s="210"/>
      <c r="AV15" s="210" t="s">
        <v>265</v>
      </c>
      <c r="AW15" s="210"/>
      <c r="AX15" s="225"/>
      <c r="AY15" s="777" t="s">
        <v>405</v>
      </c>
      <c r="AZ15" s="719"/>
      <c r="BA15" s="719" t="s">
        <v>406</v>
      </c>
      <c r="BB15" s="769"/>
      <c r="BC15" s="777" t="s">
        <v>407</v>
      </c>
      <c r="BD15" s="769"/>
      <c r="BE15" s="777" t="s">
        <v>410</v>
      </c>
      <c r="BF15" s="719"/>
      <c r="BG15" s="719" t="s">
        <v>406</v>
      </c>
      <c r="BH15" s="719"/>
      <c r="BI15" s="777" t="s">
        <v>407</v>
      </c>
      <c r="BJ15" s="769"/>
      <c r="BK15" s="777" t="s">
        <v>410</v>
      </c>
      <c r="BL15" s="719"/>
      <c r="BM15" s="777" t="s">
        <v>411</v>
      </c>
      <c r="BN15" s="769"/>
      <c r="BO15" s="777" t="s">
        <v>413</v>
      </c>
      <c r="BP15" s="719"/>
      <c r="BQ15" s="719" t="s">
        <v>406</v>
      </c>
      <c r="BR15" s="719"/>
      <c r="BS15" s="777" t="s">
        <v>407</v>
      </c>
      <c r="BT15" s="769"/>
      <c r="BU15" s="777" t="s">
        <v>413</v>
      </c>
      <c r="BV15" s="719"/>
      <c r="BW15" s="719" t="s">
        <v>406</v>
      </c>
      <c r="BX15" s="769"/>
      <c r="BY15" s="719" t="s">
        <v>407</v>
      </c>
      <c r="BZ15" s="769"/>
      <c r="CA15" s="213"/>
    </row>
    <row r="16" spans="1:113">
      <c r="C16" s="693" t="str">
        <f>IF($N$8="κτιριακη μοναδα","[αρνητικο μηκος: 0,50*Uτ,b για εξ. αερα","[αρνητικο μηκος: πλήρης σκιά")</f>
        <v>[αρνητικο μηκος: 0,50*Uτ,b για εξ. αερα</v>
      </c>
      <c r="D16" s="693"/>
      <c r="E16" s="693"/>
      <c r="F16" s="693"/>
      <c r="G16" s="693"/>
      <c r="H16" s="272" t="str">
        <f>sys!S152</f>
        <v>-</v>
      </c>
      <c r="I16" s="697" t="s">
        <v>478</v>
      </c>
      <c r="J16" s="698"/>
      <c r="K16" s="699" t="s">
        <v>481</v>
      </c>
      <c r="L16" s="700"/>
      <c r="M16" s="256" t="s">
        <v>501</v>
      </c>
      <c r="N16" s="257">
        <f>sys!P121</f>
        <v>0</v>
      </c>
      <c r="O16" s="665" t="s">
        <v>556</v>
      </c>
      <c r="P16" s="665"/>
      <c r="Q16" s="665"/>
      <c r="R16" s="665"/>
      <c r="S16" s="665"/>
      <c r="T16" s="665"/>
      <c r="U16" s="720" t="s">
        <v>697</v>
      </c>
      <c r="V16" s="721"/>
      <c r="W16" s="722" t="s">
        <v>698</v>
      </c>
      <c r="X16" s="721"/>
      <c r="Y16" s="722" t="s">
        <v>699</v>
      </c>
      <c r="Z16" s="721"/>
      <c r="AA16" s="787" t="s">
        <v>700</v>
      </c>
      <c r="AB16" s="695"/>
      <c r="AC16" s="787" t="s">
        <v>701</v>
      </c>
      <c r="AD16" s="825"/>
      <c r="AE16" s="251" t="s">
        <v>12</v>
      </c>
      <c r="AF16" s="738" t="s">
        <v>17</v>
      </c>
      <c r="AG16" s="738"/>
      <c r="AH16" s="736" t="s">
        <v>19</v>
      </c>
      <c r="AI16" s="737"/>
      <c r="AJ16" s="778" t="s">
        <v>128</v>
      </c>
      <c r="AK16" s="778"/>
      <c r="AL16" s="778" t="s">
        <v>129</v>
      </c>
      <c r="AM16" s="778"/>
      <c r="AN16" s="209" t="s">
        <v>393</v>
      </c>
      <c r="AO16" s="210"/>
      <c r="AP16" s="210"/>
      <c r="AQ16" s="210"/>
      <c r="AR16" s="210"/>
      <c r="AS16" s="210"/>
      <c r="AT16" s="210"/>
      <c r="AU16" s="210"/>
      <c r="AV16" s="210" t="s">
        <v>266</v>
      </c>
      <c r="AW16" s="210" t="s">
        <v>393</v>
      </c>
      <c r="AX16" s="225" t="s">
        <v>393</v>
      </c>
      <c r="AY16" s="209" t="s">
        <v>393</v>
      </c>
      <c r="AZ16" s="210" t="s">
        <v>393</v>
      </c>
      <c r="BA16" s="210" t="s">
        <v>392</v>
      </c>
      <c r="BB16" s="225" t="s">
        <v>404</v>
      </c>
      <c r="BC16" s="210" t="s">
        <v>392</v>
      </c>
      <c r="BD16" s="225" t="s">
        <v>404</v>
      </c>
      <c r="BE16" s="209" t="s">
        <v>393</v>
      </c>
      <c r="BF16" s="210" t="s">
        <v>393</v>
      </c>
      <c r="BG16" s="210" t="s">
        <v>392</v>
      </c>
      <c r="BH16" s="210" t="s">
        <v>404</v>
      </c>
      <c r="BI16" s="209" t="s">
        <v>392</v>
      </c>
      <c r="BJ16" s="225" t="s">
        <v>404</v>
      </c>
      <c r="BK16" s="209" t="s">
        <v>393</v>
      </c>
      <c r="BL16" s="210" t="s">
        <v>393</v>
      </c>
      <c r="BM16" s="210" t="s">
        <v>392</v>
      </c>
      <c r="BN16" s="225" t="s">
        <v>404</v>
      </c>
      <c r="BO16" s="209" t="s">
        <v>393</v>
      </c>
      <c r="BP16" s="210" t="s">
        <v>393</v>
      </c>
      <c r="BQ16" s="210" t="s">
        <v>392</v>
      </c>
      <c r="BR16" s="210" t="s">
        <v>404</v>
      </c>
      <c r="BS16" s="209" t="s">
        <v>392</v>
      </c>
      <c r="BT16" s="225" t="s">
        <v>404</v>
      </c>
      <c r="BU16" s="209" t="s">
        <v>393</v>
      </c>
      <c r="BV16" s="210" t="s">
        <v>393</v>
      </c>
      <c r="BW16" s="210" t="s">
        <v>392</v>
      </c>
      <c r="BX16" s="225" t="s">
        <v>404</v>
      </c>
      <c r="BY16" s="210" t="s">
        <v>392</v>
      </c>
      <c r="BZ16" s="225" t="s">
        <v>404</v>
      </c>
      <c r="CA16" s="213"/>
    </row>
    <row r="17" spans="1:113">
      <c r="A17" s="695" t="s">
        <v>4</v>
      </c>
      <c r="B17" s="696"/>
      <c r="C17" s="37" t="s">
        <v>5</v>
      </c>
      <c r="D17" s="37" t="s">
        <v>6</v>
      </c>
      <c r="E17" s="38" t="s">
        <v>7</v>
      </c>
      <c r="F17" s="37" t="s">
        <v>20</v>
      </c>
      <c r="G17" s="268" t="s">
        <v>23</v>
      </c>
      <c r="H17" s="271" t="s">
        <v>574</v>
      </c>
      <c r="I17" s="37" t="s">
        <v>303</v>
      </c>
      <c r="J17" s="258" t="s">
        <v>512</v>
      </c>
      <c r="K17" s="267" t="s">
        <v>450</v>
      </c>
      <c r="L17" s="263" t="s">
        <v>9</v>
      </c>
      <c r="M17" s="39" t="s">
        <v>10</v>
      </c>
      <c r="N17" s="199" t="s">
        <v>11</v>
      </c>
      <c r="O17" s="40" t="s">
        <v>123</v>
      </c>
      <c r="P17" s="40" t="s">
        <v>124</v>
      </c>
      <c r="Q17" s="41" t="s">
        <v>14</v>
      </c>
      <c r="R17" s="40" t="s">
        <v>125</v>
      </c>
      <c r="S17" s="41" t="s">
        <v>126</v>
      </c>
      <c r="T17" s="40" t="s">
        <v>127</v>
      </c>
      <c r="U17" s="168" t="s">
        <v>513</v>
      </c>
      <c r="V17" s="169" t="s">
        <v>368</v>
      </c>
      <c r="W17" s="179" t="s">
        <v>365</v>
      </c>
      <c r="X17" s="183" t="s">
        <v>366</v>
      </c>
      <c r="Y17" s="167" t="s">
        <v>359</v>
      </c>
      <c r="Z17" s="169" t="s">
        <v>360</v>
      </c>
      <c r="AA17" s="168" t="s">
        <v>367</v>
      </c>
      <c r="AB17" s="167" t="s">
        <v>361</v>
      </c>
      <c r="AC17" s="168" t="s">
        <v>367</v>
      </c>
      <c r="AD17" s="167" t="s">
        <v>361</v>
      </c>
      <c r="AE17" s="226" t="s">
        <v>8</v>
      </c>
      <c r="AF17" s="202" t="s">
        <v>30</v>
      </c>
      <c r="AG17" s="202" t="s">
        <v>31</v>
      </c>
      <c r="AH17" s="202" t="s">
        <v>21</v>
      </c>
      <c r="AI17" s="202" t="s">
        <v>22</v>
      </c>
      <c r="AJ17" s="227" t="s">
        <v>126</v>
      </c>
      <c r="AK17" s="202" t="s">
        <v>127</v>
      </c>
      <c r="AL17" s="227" t="s">
        <v>126</v>
      </c>
      <c r="AM17" s="228" t="s">
        <v>127</v>
      </c>
      <c r="AN17" s="209" t="s">
        <v>394</v>
      </c>
      <c r="AO17" s="210"/>
      <c r="AP17" s="210"/>
      <c r="AQ17" s="210"/>
      <c r="AR17" s="210"/>
      <c r="AS17" s="210"/>
      <c r="AT17" s="210"/>
      <c r="AU17" s="210"/>
      <c r="AV17" s="210" t="s">
        <v>267</v>
      </c>
      <c r="AW17" s="210" t="s">
        <v>390</v>
      </c>
      <c r="AX17" s="225" t="s">
        <v>391</v>
      </c>
      <c r="AY17" s="229" t="s">
        <v>390</v>
      </c>
      <c r="AZ17" s="230" t="s">
        <v>391</v>
      </c>
      <c r="BA17" s="230" t="s">
        <v>390</v>
      </c>
      <c r="BB17" s="231" t="s">
        <v>391</v>
      </c>
      <c r="BC17" s="230" t="s">
        <v>390</v>
      </c>
      <c r="BD17" s="231" t="s">
        <v>391</v>
      </c>
      <c r="BE17" s="229" t="s">
        <v>390</v>
      </c>
      <c r="BF17" s="230" t="s">
        <v>391</v>
      </c>
      <c r="BG17" s="230" t="s">
        <v>390</v>
      </c>
      <c r="BH17" s="230" t="s">
        <v>391</v>
      </c>
      <c r="BI17" s="229" t="s">
        <v>390</v>
      </c>
      <c r="BJ17" s="231" t="s">
        <v>391</v>
      </c>
      <c r="BK17" s="229" t="s">
        <v>390</v>
      </c>
      <c r="BL17" s="230" t="s">
        <v>391</v>
      </c>
      <c r="BM17" s="230" t="s">
        <v>390</v>
      </c>
      <c r="BN17" s="231" t="s">
        <v>391</v>
      </c>
      <c r="BO17" s="229" t="s">
        <v>390</v>
      </c>
      <c r="BP17" s="230" t="s">
        <v>391</v>
      </c>
      <c r="BQ17" s="230" t="s">
        <v>390</v>
      </c>
      <c r="BR17" s="230" t="s">
        <v>391</v>
      </c>
      <c r="BS17" s="229" t="s">
        <v>390</v>
      </c>
      <c r="BT17" s="231" t="s">
        <v>391</v>
      </c>
      <c r="BU17" s="229" t="s">
        <v>390</v>
      </c>
      <c r="BV17" s="230" t="s">
        <v>391</v>
      </c>
      <c r="BW17" s="230" t="s">
        <v>390</v>
      </c>
      <c r="BX17" s="231" t="s">
        <v>391</v>
      </c>
      <c r="BY17" s="230" t="s">
        <v>390</v>
      </c>
      <c r="BZ17" s="231" t="s">
        <v>391</v>
      </c>
      <c r="CA17" s="213"/>
    </row>
    <row r="18" spans="1:113">
      <c r="A18" s="180">
        <v>1</v>
      </c>
      <c r="B18" s="128"/>
      <c r="C18" s="126"/>
      <c r="D18" s="126"/>
      <c r="E18" s="47" t="str">
        <f>IF(C18=0,"-",IF(C18&gt;0,C18*D18,-1*C18*D18))</f>
        <v>-</v>
      </c>
      <c r="F18" s="126"/>
      <c r="G18" s="269" t="str">
        <f>IFERROR(E18-F18,"-")</f>
        <v>-</v>
      </c>
      <c r="H18" s="270"/>
      <c r="I18" s="126"/>
      <c r="J18" s="126"/>
      <c r="K18" s="265" t="str">
        <f>IF(C18&gt;0,IFERROR(((I18*(G18-H18*E18*0.01)+J18*H18*E18*0.01)/G18),"-"),IF($N$8="κτιριακη μοναδα",IFERROR(0.5*((I18*(G18-H18*E18*0.01)+J18*H18*E18*0.01)/G18),"-"),IFERROR((I18*(G18-H18*E18*0.01)+J18*H18*E18*0.01)/G18,"-")))</f>
        <v>-</v>
      </c>
      <c r="L18" s="264"/>
      <c r="M18" s="129"/>
      <c r="N18" s="200" t="str">
        <f>IF(L18="","-",IFERROR(IF(C18&lt;0,"-",INDEX(pin!$AR$6:$AR$22,MATCH(MROUND(ΥΠΟΛΟΓΙΣΜΟΙ!L18,22.5),pin!$AQ$6:$AQ$22))),"-"))</f>
        <v>-</v>
      </c>
      <c r="O18" s="46">
        <f>IF(L18=-1,0,IF(C18&gt;=0,IF(K18&gt;0.6,BA18+0.0444*(L18-AW18)*(BB18-BA18),1),0))</f>
        <v>1</v>
      </c>
      <c r="P18" s="130">
        <f>IF(L18=-1,0,IF(C18&gt;=0,IF(K18&gt;0.6,BC18+0.0444*(L18-AW18)*(BD18-BC18),1),0))</f>
        <v>1</v>
      </c>
      <c r="Q18" s="46">
        <f>IF(L18=-1,0,IF(C18&gt;=0,IF(K18&gt;0.6,BG18+0.0444*(L18-AW18)*(BH18-BG18),0.9),0))</f>
        <v>1</v>
      </c>
      <c r="R18" s="130">
        <f>IF(L18=-1,0,IF(C18&gt;=0,IF(K18&gt;0.6,IF(AG18=0,BI18+0.0444*(L18-AW18)*(BJ18-BI18),BM18+0.0444*(L18-AW18)*(BN18-BM18)),0.9),0))</f>
        <v>1</v>
      </c>
      <c r="S18" s="46">
        <f>IF(L18=-1,0,IF(C18&gt;=0,IF(K18&gt;0.6,AJ18*AL18,1),0))</f>
        <v>1</v>
      </c>
      <c r="T18" s="130">
        <f>IF(L18=-1,0,IF(C18&gt;=0,IF(K18&gt;0.6,AK18*AM18,1),0))</f>
        <v>1</v>
      </c>
      <c r="U18" s="131"/>
      <c r="V18" s="132"/>
      <c r="W18" s="126"/>
      <c r="X18" s="127"/>
      <c r="Y18" s="181"/>
      <c r="Z18" s="149"/>
      <c r="AA18" s="126"/>
      <c r="AB18" s="126"/>
      <c r="AC18" s="131"/>
      <c r="AD18" s="127"/>
      <c r="AE18" s="226">
        <f t="shared" ref="AE18:AE32" si="0">IFERROR(DEGREES(ATAN(V18/U18)),0)</f>
        <v>0</v>
      </c>
      <c r="AF18" s="202">
        <f>IFERROR(DEGREES(ATAN(W18/X18)),0)</f>
        <v>0</v>
      </c>
      <c r="AG18" s="202">
        <f>IF(Y18&gt;0,IF((Z18-X18)&gt;0,DEGREES(ATAN(Y18/(Z18-X18))),90),0)</f>
        <v>0</v>
      </c>
      <c r="AH18" s="202">
        <f>IFERROR(DEGREES(ATAN(AA18/AB18)),0)</f>
        <v>0</v>
      </c>
      <c r="AI18" s="202">
        <f>IFERROR(DEGREES(ATAN(AC18/AD18)),0)</f>
        <v>0</v>
      </c>
      <c r="AJ18" s="203">
        <f>BQ18+0.0444*(L18-AW18)*(BR18-BQ18)</f>
        <v>1</v>
      </c>
      <c r="AK18" s="203">
        <f>BS18+0.0444*(L18-AW18)*(BT18-BS18)</f>
        <v>1</v>
      </c>
      <c r="AL18" s="203">
        <f>BW18+0.0444*(L18-AW18)*(BX18-BW18)</f>
        <v>1</v>
      </c>
      <c r="AM18" s="203">
        <f>BY18+0.0444*(L18-AW18)*(BZ18-BY18)</f>
        <v>1</v>
      </c>
      <c r="AN18" s="245">
        <f>IF(L18=-1,"-",MROUND(L18, 22.5))</f>
        <v>0</v>
      </c>
      <c r="AO18" s="246"/>
      <c r="AP18" s="246"/>
      <c r="AQ18" s="246"/>
      <c r="AR18" s="246"/>
      <c r="AS18" s="246"/>
      <c r="AT18" s="246"/>
      <c r="AU18" s="246"/>
      <c r="AV18" s="246" t="s">
        <v>268</v>
      </c>
      <c r="AW18" s="246">
        <f>IF(AN18-L18&lt;=0,AN18,AN18-22.5)</f>
        <v>0</v>
      </c>
      <c r="AX18" s="247">
        <f>IF(AN18-L18=0,AN18,AW18+22.5)</f>
        <v>0</v>
      </c>
      <c r="AY18" s="209">
        <f>IF(MROUND(AE18,2.5)-AE18&lt;=0,MROUND(AE18,2.5),MROUND(AE18,2.5)-2.5)</f>
        <v>0</v>
      </c>
      <c r="AZ18" s="210">
        <f>IF(MROUND(AE18,2.5)-AE18=0,MROUND(AE18,2.5),AY18+2.5)</f>
        <v>0</v>
      </c>
      <c r="BA18" s="210">
        <f>INDEX(pin!$D$6:$T$42,MATCH(ΥΠΟΛΟΓΙΣΜΟΙ!AY18,pin!$B$6:$B$42,0),MATCH(ΥΠΟΛΟΓΙΣΜΟΙ!AW18,pin!$D$5:$T$5,0))+0.4*(AY18-AE18)*(INDEX(pin!$D$6:$T$42,MATCH(ΥΠΟΛΟΓΙΣΜΟΙ!AY18,pin!$B$6:$B$42,0),MATCH(ΥΠΟΛΟΓΙΣΜΟΙ!AW18,pin!$D$5:$T$5,0))-INDEX(pin!$D$6:$T$42,MATCH(ΥΠΟΛΟΓΙΣΜΟΙ!AZ18,pin!$B$6:$B$42,0),MATCH(ΥΠΟΛΟΓΙΣΜΟΙ!AW18,pin!$D$5:$T$5,0)))</f>
        <v>1</v>
      </c>
      <c r="BB18" s="225">
        <f>INDEX(pin!$D$6:$T$42,MATCH(ΥΠΟΛΟΓΙΣΜΟΙ!AY18,pin!$B$6:$B$42,0),MATCH(ΥΠΟΛΟΓΙΣΜΟΙ!AX18,pin!$D$5:$T$5,0))+0.4*(AY18-AE18)*(INDEX(pin!$D$6:$T$42,MATCH(ΥΠΟΛΟΓΙΣΜΟΙ!AY18,pin!$B$6:$B$42,0),MATCH(ΥΠΟΛΟΓΙΣΜΟΙ!AX18,pin!$D$5:$T$5,0))-INDEX(pin!$D$6:$T$42,MATCH(ΥΠΟΛΟΓΙΣΜΟΙ!AZ18,pin!$B$6:$B$42,0),MATCH(ΥΠΟΛΟΓΙΣΜΟΙ!AX18,pin!$D$5:$T$5,0)))</f>
        <v>1</v>
      </c>
      <c r="BC18" s="210">
        <f>INDEX(pin!$X$6:$AN$42,MATCH(ΥΠΟΛΟΓΙΣΜΟΙ!AY18,pin!$V$6:$V$42,0),MATCH(ΥΠΟΛΟΓΙΣΜΟΙ!AW18,pin!$X$5:$AN$5,0))+0.4*(AY18-AE18)*(INDEX(pin!$X$6:$AN$42,MATCH(ΥΠΟΛΟΓΙΣΜΟΙ!AY18,pin!$V$6:$V$42,0),MATCH(ΥΠΟΛΟΓΙΣΜΟΙ!AW18,pin!$X$5:$AN$5,0))-INDEX(pin!$X$6:$AN$42,MATCH(ΥΠΟΛΟΓΙΣΜΟΙ!AZ18,pin!$V$6:$V$42,0),MATCH(ΥΠΟΛΟΓΙΣΜΟΙ!AW18,pin!$X$5:$AN$5,0)))</f>
        <v>1</v>
      </c>
      <c r="BD18" s="210">
        <f>INDEX(pin!$X$6:$AN$42,MATCH(ΥΠΟΛΟΓΙΣΜΟΙ!AY18,pin!$V$6:$V$42,0),MATCH(ΥΠΟΛΟΓΙΣΜΟΙ!AX18,pin!$X$5:$AN$5,0))+0.4*(AY18-AE18)*(INDEX(pin!$X$6:$AN$42,MATCH(ΥΠΟΛΟΓΙΣΜΟΙ!AY18,pin!$V$6:$V$42,0),MATCH(ΥΠΟΛΟΓΙΣΜΟΙ!AX18,pin!$X$5:$AN$5,0))-INDEX(pin!$X$6:$AN$42,MATCH(ΥΠΟΛΟΓΙΣΜΟΙ!AZ18,pin!$V$6:$V$42,0),MATCH(ΥΠΟΛΟΓΙΣΜΟΙ!AX18,pin!$X$5:$AN$5,0)))</f>
        <v>1</v>
      </c>
      <c r="BE18" s="209">
        <f>IF(MROUND(AF18,2.5)-AF18&lt;=0,MROUND(AF18,2.5),MROUND(AF18,2.5)-2.5)</f>
        <v>0</v>
      </c>
      <c r="BF18" s="210">
        <f>IF(MROUND(AF18,2.5)-AF18=0,MROUND(AF18,2.5),BE18+2.5)</f>
        <v>0</v>
      </c>
      <c r="BG18" s="210">
        <f>INDEX(pin!$D$48:$T$84,MATCH(ΥΠΟΛΟΓΙΣΜΟΙ!BE18,pin!$B$48:$B$84,0),MATCH(ΥΠΟΛΟΓΙΣΜΟΙ!AW18,pin!$D$47:$T$47,0))+0.4*(BE18-AF18)*(INDEX(pin!$D$48:$T$84,MATCH(ΥΠΟΛΟΓΙΣΜΟΙ!BE18,pin!$B$48:$B$84,0),MATCH(ΥΠΟΛΟΓΙΣΜΟΙ!AW18,pin!$D$47:$T$47,0))-INDEX(pin!$D$48:$T$84,MATCH(ΥΠΟΛΟΓΙΣΜΟΙ!BF18,pin!$B$48:$B$84,0),MATCH(ΥΠΟΛΟΓΙΣΜΟΙ!AW18,pin!$D$47:$T$47,0)))</f>
        <v>1</v>
      </c>
      <c r="BH18" s="210">
        <f>INDEX(pin!$D$48:$T$84,MATCH(ΥΠΟΛΟΓΙΣΜΟΙ!BE18,pin!$B$48:$B$84,0),MATCH(ΥΠΟΛΟΓΙΣΜΟΙ!AX18,pin!$D$47:$T$47,0))+0.4*(BE18-AF18)*(INDEX(pin!$D$48:$T$84,MATCH(ΥΠΟΛΟΓΙΣΜΟΙ!BE18,pin!$B$48:$B$84,0),MATCH(ΥΠΟΛΟΓΙΣΜΟΙ!AX18,pin!$D$47:$T$47,0))-INDEX(pin!$D$48:$T$84,MATCH(ΥΠΟΛΟΓΙΣΜΟΙ!BF18,pin!$B$48:$B$84,0),MATCH(ΥΠΟΛΟΓΙΣΜΟΙ!AX18,pin!$D$47:$T$47,0)))</f>
        <v>1</v>
      </c>
      <c r="BI18" s="209">
        <f>INDEX(pin!$X$48:$AN$84,MATCH(ΥΠΟΛΟΓΙΣΜΟΙ!BE18,pin!$V$48:$V$84,0),MATCH(ΥΠΟΛΟΓΙΣΜΟΙ!AW18,pin!$X$47:$AN$47,0))+0.4*(BE18-AF18)*(INDEX(pin!$X$48:$AN$84,MATCH(ΥΠΟΛΟΓΙΣΜΟΙ!BE18,pin!$V$48:$V$84,0),MATCH(ΥΠΟΛΟΓΙΣΜΟΙ!AW18,pin!$X$47:$AN$47,0))-INDEX(pin!$X$48:$AN$84,MATCH(ΥΠΟΛΟΓΙΣΜΟΙ!BF18,pin!$V$48:$V$84,0),MATCH(ΥΠΟΛΟΓΙΣΜΟΙ!AW18,pin!$X$47:$AN$47,0)))</f>
        <v>1</v>
      </c>
      <c r="BJ18" s="225">
        <f>INDEX(pin!$X$48:$AN$84,MATCH(ΥΠΟΛΟΓΙΣΜΟΙ!BE18,pin!$V$48:$V$84,0),MATCH(ΥΠΟΛΟΓΙΣΜΟΙ!AX18,pin!$X$47:$AN$47,0))+0.4*(BE18-AF18)*(INDEX(pin!$X$48:$AN$84,MATCH(ΥΠΟΛΟΓΙΣΜΟΙ!BE18,pin!$V$48:$V$84,0),MATCH(ΥΠΟΛΟΓΙΣΜΟΙ!AX18,pin!$X$47:$AN$47,0))-INDEX(pin!$X$48:$AN$84,MATCH(ΥΠΟΛΟΓΙΣΜΟΙ!BF18,pin!$V$48:$V$84,0),MATCH(ΥΠΟΛΟΓΙΣΜΟΙ!AX18,pin!$X$47:$AN$47,0)))</f>
        <v>1</v>
      </c>
      <c r="BK18" s="209">
        <f>IF(MROUND(AG18,2.5)-AG18&lt;=0,MROUND(AG18,2.5),MROUND(AG18,2.5)-2.5)</f>
        <v>0</v>
      </c>
      <c r="BL18" s="210">
        <f>IF(MROUND(AG18,2.5)-AG18=0,MROUND(AG18,2.5),BK18+2.5)</f>
        <v>0</v>
      </c>
      <c r="BM18" s="210">
        <f>INDEX(pin!$X$48:$AN$84,MATCH(ΥΠΟΛΟΓΙΣΜΟΙ!BK18,pin!$V$48:$V$84,0),MATCH(ΥΠΟΛΟΓΙΣΜΟΙ!AW18,pin!$X$47:$AN$47,0))+0.4*(BK18-AG18)*(INDEX(pin!$X$48:$AN$84,MATCH(ΥΠΟΛΟΓΙΣΜΟΙ!BK18,pin!$V$48:$V$84,0),MATCH(ΥΠΟΛΟΓΙΣΜΟΙ!AW18,pin!$X$47:$AN$47,0))-INDEX(pin!$X$48:$AN$84,MATCH(ΥΠΟΛΟΓΙΣΜΟΙ!BL18,pin!$V$48:$V$84,0),MATCH(ΥΠΟΛΟΓΙΣΜΟΙ!AW18,pin!$X$47:$AN$47,0)))</f>
        <v>1</v>
      </c>
      <c r="BN18" s="225">
        <f>INDEX(pin!$X$48:$AN$84,MATCH(ΥΠΟΛΟΓΙΣΜΟΙ!BK18,pin!$V$48:$V$84,0),MATCH(ΥΠΟΛΟΓΙΣΜΟΙ!AX18,pin!$X$47:$AN$47,0))+0.4*(BK18-AG18)*(INDEX(pin!$X$48:$AN$84,MATCH(ΥΠΟΛΟΓΙΣΜΟΙ!BK18,pin!$V$48:$V$84,0),MATCH(ΥΠΟΛΟΓΙΣΜΟΙ!AX18,pin!$X$47:$AN$47,0))-INDEX(pin!$X$48:$AN$84,MATCH(ΥΠΟΛΟΓΙΣΜΟΙ!BL18,pin!$V$48:$V$84,0),MATCH(ΥΠΟΛΟΓΙΣΜΟΙ!AX18,pin!$X$47:$AN$47,0)))</f>
        <v>1</v>
      </c>
      <c r="BO18" s="209">
        <f>IF(MROUND(AH18,5)-AH18&lt;=0,MROUND(AH18,5),MROUND(AH18,5)-5)</f>
        <v>0</v>
      </c>
      <c r="BP18" s="210">
        <f>IF(MROUND(AH18,5)-AH18=0,MROUND(AH18,5),BO18+5)</f>
        <v>0</v>
      </c>
      <c r="BQ18" s="210">
        <f>INDEX(pin!$D$114:$T$132,MATCH(ΥΠΟΛΟΓΙΣΜΟΙ!BO18,pin!$B$114:$B$132,0),MATCH(ΥΠΟΛΟΓΙΣΜΟΙ!AW18,pin!$D$113:$T$113,0))+0.2*(BO18-AH18)*(INDEX(pin!$D$114:$T$132,MATCH(ΥΠΟΛΟΓΙΣΜΟΙ!BO18,pin!$B$114:$B$132,0),MATCH(ΥΠΟΛΟΓΙΣΜΟΙ!AW18,pin!$D$113:$T$113,0))-INDEX(pin!$D$114:$T$132,MATCH(ΥΠΟΛΟΓΙΣΜΟΙ!BP18,pin!$B$114:$B$132,0),MATCH(ΥΠΟΛΟΓΙΣΜΟΙ!AW18,pin!$D$113:$T$113,0)))</f>
        <v>1</v>
      </c>
      <c r="BR18" s="210">
        <f>INDEX(pin!$D$114:$T$132,MATCH(ΥΠΟΛΟΓΙΣΜΟΙ!BO18,pin!$B$114:$B$132,0),MATCH(ΥΠΟΛΟΓΙΣΜΟΙ!AX18,pin!$D$113:$T$113,0))+0.2*(BO18-AH18)*(INDEX(pin!$D$114:$T$132,MATCH(ΥΠΟΛΟΓΙΣΜΟΙ!BO18,pin!$B$114:$B$132,0),MATCH(ΥΠΟΛΟΓΙΣΜΟΙ!AX18,pin!$D$113:$T$113,0))-INDEX(pin!$D$114:$T$132,MATCH(ΥΠΟΛΟΓΙΣΜΟΙ!BP18,pin!$B$114:$B$132,0),MATCH(ΥΠΟΛΟΓΙΣΜΟΙ!AX18,pin!$D$113:$T$113,0)))</f>
        <v>1</v>
      </c>
      <c r="BS18" s="209">
        <f>INDEX(pin!$X$114:$AN$132,MATCH(ΥΠΟΛΟΓΙΣΜΟΙ!BO18,pin!$V$114:$V$132,0),MATCH(ΥΠΟΛΟΓΙΣΜΟΙ!AW18,pin!$X$113:$AN$113,0))+0.2*(BO18-AH18)*(INDEX(pin!$X$114:$AN$132,MATCH(ΥΠΟΛΟΓΙΣΜΟΙ!BO18,pin!$V$114:$V$132,0),MATCH(ΥΠΟΛΟΓΙΣΜΟΙ!AW18,pin!$X$113:$AN$113,0))-INDEX(pin!$X$114:$AN$132,MATCH(ΥΠΟΛΟΓΙΣΜΟΙ!BP18,pin!$V$114:$V$132,0),MATCH(ΥΠΟΛΟΓΙΣΜΟΙ!AW18,pin!$X$113:$AN$113,0)))</f>
        <v>1</v>
      </c>
      <c r="BT18" s="225">
        <f>INDEX(pin!$X$114:$AN$132,MATCH(ΥΠΟΛΟΓΙΣΜΟΙ!BO18,pin!$V$114:$V$132,0),MATCH(ΥΠΟΛΟΓΙΣΜΟΙ!AX18,pin!$X$113:$AN$113,0))+0.2*(BO18-AH18)*(INDEX(pin!$X$114:$AN$132,MATCH(ΥΠΟΛΟΓΙΣΜΟΙ!BO18,pin!$V$114:$V$132,0),MATCH(ΥΠΟΛΟΓΙΣΜΟΙ!AX18,pin!$X$113:$AN$113,0))-INDEX(pin!$X$114:$AN$132,MATCH(ΥΠΟΛΟΓΙΣΜΟΙ!BP18,pin!$V$114:$V$132,0),MATCH(ΥΠΟΛΟΓΙΣΜΟΙ!AX18,pin!$X$113:$AN$113,0)))</f>
        <v>1</v>
      </c>
      <c r="BU18" s="209">
        <f>IF(MROUND(AI18,5)-AI18&lt;=0,MROUND(AI18,5),MROUND(AI18,5)-5)</f>
        <v>0</v>
      </c>
      <c r="BV18" s="210">
        <f>IF(MROUND(AI18,5)-AI18=0,MROUND(AI18,5),BU18+5)</f>
        <v>0</v>
      </c>
      <c r="BW18" s="210">
        <f>INDEX(pin!$D$90:$T$108,MATCH(ΥΠΟΛΟΓΙΣΜΟΙ!BU18,pin!$B$90:$B$108,0),MATCH(ΥΠΟΛΟΓΙΣΜΟΙ!AW18,pin!$D$89:$T$89,0))+0.2*(BU18-AI18)*(INDEX(pin!$D$90:$T$108,MATCH(ΥΠΟΛΟΓΙΣΜΟΙ!BU18,pin!$B$90:$B$108,0),MATCH(ΥΠΟΛΟΓΙΣΜΟΙ!AW18,pin!$D$89:$T$89,0))-INDEX(pin!$D$90:$T$108,MATCH(ΥΠΟΛΟΓΙΣΜΟΙ!BV18,pin!$B$90:$B$108,0),MATCH(ΥΠΟΛΟΓΙΣΜΟΙ!AW18,pin!$D$89:$T$89,0)))</f>
        <v>1</v>
      </c>
      <c r="BX18" s="225">
        <f>INDEX(pin!$D$90:$T$108,MATCH(ΥΠΟΛΟΓΙΣΜΟΙ!BU18,pin!$B$90:$B$108,0),MATCH(ΥΠΟΛΟΓΙΣΜΟΙ!AX18,pin!$D$89:$T$89,0))+0.2*(BU18-AI18)*(INDEX(pin!$D$90:$T$108,MATCH(ΥΠΟΛΟΓΙΣΜΟΙ!BU18,pin!$B$90:$B$108,0),MATCH(ΥΠΟΛΟΓΙΣΜΟΙ!AX18,pin!$D$89:$T$89,0))-INDEX(pin!$D$90:$T$108,MATCH(ΥΠΟΛΟΓΙΣΜΟΙ!BV18,pin!$B$90:$B$108,0),MATCH(ΥΠΟΛΟΓΙΣΜΟΙ!AX18,pin!$D$89:$T$89,0)))</f>
        <v>1</v>
      </c>
      <c r="BY18" s="210">
        <f>INDEX(pin!$X$90:$AN$108,MATCH(ΥΠΟΛΟΓΙΣΜΟΙ!BU18,pin!$V$90:$V$108,0),MATCH(ΥΠΟΛΟΓΙΣΜΟΙ!AW18,pin!$X$89:$AN$89,0))+0.2*(BU18-AI18)*(INDEX(pin!$X$90:$AN$108,MATCH(ΥΠΟΛΟΓΙΣΜΟΙ!BU18,pin!$V$90:$V$108,0),MATCH(ΥΠΟΛΟΓΙΣΜΟΙ!AW18,pin!$X$89:$AN$89,0))-INDEX(pin!$X$90:$AN$108,MATCH(ΥΠΟΛΟΓΙΣΜΟΙ!BV18,pin!$V$90:$V$108,0),MATCH(ΥΠΟΛΟΓΙΣΜΟΙ!AW18,pin!$X$89:$AN$89,0)))</f>
        <v>1</v>
      </c>
      <c r="BZ18" s="225">
        <f>INDEX(pin!$X$90:$AN$108,MATCH(ΥΠΟΛΟΓΙΣΜΟΙ!BU18,pin!$V$90:$V$108,0),MATCH(ΥΠΟΛΟΓΙΣΜΟΙ!AX18,pin!$X$89:$AN$89,0))+0.2*(BU18-AI18)*(INDEX(pin!$X$90:$AN$108,MATCH(ΥΠΟΛΟΓΙΣΜΟΙ!BU18,pin!$V$90:$V$108,0),MATCH(ΥΠΟΛΟΓΙΣΜΟΙ!AX18,pin!$X$89:$AN$89,0))-INDEX(pin!$X$90:$AN$108,MATCH(ΥΠΟΛΟΓΙΣΜΟΙ!BV18,pin!$V$90:$V$108,0),MATCH(ΥΠΟΛΟΓΙΣΜΟΙ!AX18,pin!$X$89:$AN$89,0)))</f>
        <v>1</v>
      </c>
      <c r="CA18" s="213"/>
    </row>
    <row r="19" spans="1:113">
      <c r="A19" s="56">
        <v>2</v>
      </c>
      <c r="B19" s="128"/>
      <c r="C19" s="126"/>
      <c r="D19" s="126"/>
      <c r="E19" s="47" t="str">
        <f t="shared" ref="E19:E32" si="1">IF(C19=0,"-",IF(C19&gt;0,C19*D19,-1*C19*D19))</f>
        <v>-</v>
      </c>
      <c r="F19" s="126"/>
      <c r="G19" s="269" t="str">
        <f t="shared" ref="G19:G32" si="2">IFERROR(E19-F19,"-")</f>
        <v>-</v>
      </c>
      <c r="H19" s="270"/>
      <c r="I19" s="126"/>
      <c r="J19" s="126"/>
      <c r="K19" s="265" t="str">
        <f t="shared" ref="K19:K32" si="3">IF(C19&gt;0,IFERROR(((I19*(G19-H19*E19*0.01)+J19*H19*E19*0.01)/G19),"-"),IF($N$8="κτιριακη μοναδα",IFERROR(0.5*((I19*(G19-H19*E19*0.01)+J19*H19*E19*0.01)/G19),"-"),IFERROR((I19*(G19-H19*E19*0.01)+J19*H19*E19*0.01)/G19,"-")))</f>
        <v>-</v>
      </c>
      <c r="L19" s="264"/>
      <c r="M19" s="129"/>
      <c r="N19" s="200" t="str">
        <f>IF(L19="","-",IFERROR(IF(C19&lt;0,"-",INDEX(pin!$AR$6:$AR$22,MATCH(MROUND(ΥΠΟΛΟΓΙΣΜΟΙ!L19,22.5),pin!$AQ$6:$AQ$22))),"-"))</f>
        <v>-</v>
      </c>
      <c r="O19" s="46">
        <f t="shared" ref="O19:O32" si="4">IF(L19=-1,0,IF(C19&gt;=0,IF(K19&gt;0.6,BA19+0.0444*(L19-AW19)*(BB19-BA19),1),0))</f>
        <v>1</v>
      </c>
      <c r="P19" s="130">
        <f>IF(L19=-1,0,IF(C19&gt;=0,IF(K19&gt;0.6,BC19+0.0444*(L19-AW19)*(BD19-BC19),1),0))</f>
        <v>1</v>
      </c>
      <c r="Q19" s="46">
        <f t="shared" ref="Q19:Q32" si="5">IF(L19=-1,0,IF(C19&gt;=0,IF(K19&gt;0.6,BG19+0.0444*(L19-AW19)*(BH19-BG19),0.9),0))</f>
        <v>1</v>
      </c>
      <c r="R19" s="130">
        <f t="shared" ref="R19:R32" si="6">IF(L19=-1,0,IF(C19&gt;=0,IF(K19&gt;0.6,IF(AG19=0,BI19+0.0444*(L19-AW19)*(BJ19-BI19),BM19+0.0444*(L19-AW19)*(BN19-BM19)),0.9),0))</f>
        <v>1</v>
      </c>
      <c r="S19" s="46">
        <f t="shared" ref="S19:S32" si="7">IF(L19=-1,0,IF(C19&gt;=0,IF(K19&gt;0.6,AJ19*AL19,1),0))</f>
        <v>1</v>
      </c>
      <c r="T19" s="130">
        <f t="shared" ref="T19:T32" si="8">IF(L19=-1,0,IF(C19&gt;=0,IF(K19&gt;0.6,AK19*AM19,1),0))</f>
        <v>1</v>
      </c>
      <c r="U19" s="131"/>
      <c r="V19" s="132"/>
      <c r="W19" s="126"/>
      <c r="X19" s="127"/>
      <c r="Y19" s="182"/>
      <c r="Z19" s="132"/>
      <c r="AA19" s="126"/>
      <c r="AB19" s="126"/>
      <c r="AC19" s="131"/>
      <c r="AD19" s="127"/>
      <c r="AE19" s="226">
        <f t="shared" si="0"/>
        <v>0</v>
      </c>
      <c r="AF19" s="202">
        <f t="shared" ref="AF19:AF32" si="9">IFERROR(DEGREES(ATAN(W19/X19)),0)</f>
        <v>0</v>
      </c>
      <c r="AG19" s="202">
        <f t="shared" ref="AG19:AG32" si="10">IF(Y19&gt;0,IF((Z19-X19)&gt;0,DEGREES(ATAN(Y19/(Z19-X19))),90),0)</f>
        <v>0</v>
      </c>
      <c r="AH19" s="202">
        <f t="shared" ref="AH19:AH32" si="11">IFERROR(DEGREES(ATAN(AA19/AB19)),0)</f>
        <v>0</v>
      </c>
      <c r="AI19" s="202">
        <f t="shared" ref="AI19:AI32" si="12">IFERROR(DEGREES(ATAN(AC19/AD19)),0)</f>
        <v>0</v>
      </c>
      <c r="AJ19" s="203">
        <f t="shared" ref="AJ19:AJ32" si="13">BQ19+0.0444*(L19-AW19)*(BR19-BQ19)</f>
        <v>1</v>
      </c>
      <c r="AK19" s="203">
        <f t="shared" ref="AK19:AK32" si="14">BS19+0.0444*(L19-AW19)*(BT19-BS19)</f>
        <v>1</v>
      </c>
      <c r="AL19" s="203">
        <f t="shared" ref="AL19:AL32" si="15">BW19+0.0444*(L19-AW19)*(BX19-BW19)</f>
        <v>1</v>
      </c>
      <c r="AM19" s="203">
        <f t="shared" ref="AM19:AM32" si="16">BY19+0.0444*(L19-AW19)*(BZ19-BY19)</f>
        <v>1</v>
      </c>
      <c r="AN19" s="209">
        <f t="shared" ref="AN19:AN32" si="17">IF(L19=-1,"-",MROUND(L19, 22.5))</f>
        <v>0</v>
      </c>
      <c r="AO19" s="210"/>
      <c r="AP19" s="210"/>
      <c r="AQ19" s="210"/>
      <c r="AR19" s="210"/>
      <c r="AS19" s="210"/>
      <c r="AT19" s="210"/>
      <c r="AU19" s="210"/>
      <c r="AV19" s="210" t="s">
        <v>268</v>
      </c>
      <c r="AW19" s="210">
        <f t="shared" ref="AW19:AW32" si="18">IF(AN19-L19&lt;=0,AN19,AN19-22.5)</f>
        <v>0</v>
      </c>
      <c r="AX19" s="225">
        <f t="shared" ref="AX19:AX32" si="19">IF(AN19-L19=0,AN19,AW19+22.5)</f>
        <v>0</v>
      </c>
      <c r="AY19" s="209">
        <f t="shared" ref="AY19:AY32" si="20">IF(MROUND(AE19,2.5)-AE19&lt;=0,MROUND(AE19,2.5),MROUND(AE19,2.5)-2.5)</f>
        <v>0</v>
      </c>
      <c r="AZ19" s="210">
        <f t="shared" ref="AZ19:AZ32" si="21">IF(MROUND(AE19,2.5)-AE19=0,MROUND(AE19,2.5),AY19+2.5)</f>
        <v>0</v>
      </c>
      <c r="BA19" s="210">
        <f>INDEX(pin!$D$6:$T$42,MATCH(ΥΠΟΛΟΓΙΣΜΟΙ!AY19,pin!$B$6:$B$42,0),MATCH(ΥΠΟΛΟΓΙΣΜΟΙ!AW19,pin!$D$5:$T$5,0))+0.4*(AY19-AE19)*(INDEX(pin!$D$6:$T$42,MATCH(ΥΠΟΛΟΓΙΣΜΟΙ!AY19,pin!$B$6:$B$42,0),MATCH(ΥΠΟΛΟΓΙΣΜΟΙ!AW19,pin!$D$5:$T$5,0))-INDEX(pin!$D$6:$T$42,MATCH(ΥΠΟΛΟΓΙΣΜΟΙ!AZ19,pin!$B$6:$B$42,0),MATCH(ΥΠΟΛΟΓΙΣΜΟΙ!AW19,pin!$D$5:$T$5,0)))</f>
        <v>1</v>
      </c>
      <c r="BB19" s="225">
        <f>INDEX(pin!$D$6:$T$42,MATCH(ΥΠΟΛΟΓΙΣΜΟΙ!AY19,pin!$B$6:$B$42,0),MATCH(ΥΠΟΛΟΓΙΣΜΟΙ!AX19,pin!$D$5:$T$5,0))+0.4*(AY19-AE19)*(INDEX(pin!$D$6:$T$42,MATCH(ΥΠΟΛΟΓΙΣΜΟΙ!AY19,pin!$B$6:$B$42,0),MATCH(ΥΠΟΛΟΓΙΣΜΟΙ!AX19,pin!$D$5:$T$5,0))-INDEX(pin!$D$6:$T$42,MATCH(ΥΠΟΛΟΓΙΣΜΟΙ!AZ19,pin!$B$6:$B$42,0),MATCH(ΥΠΟΛΟΓΙΣΜΟΙ!AX19,pin!$D$5:$T$5,0)))</f>
        <v>1</v>
      </c>
      <c r="BC19" s="210">
        <f>INDEX(pin!$X$6:$AN$42,MATCH(ΥΠΟΛΟΓΙΣΜΟΙ!AY19,pin!$V$6:$V$42,0),MATCH(ΥΠΟΛΟΓΙΣΜΟΙ!AW19,pin!$X$5:$AN$5,0))+0.4*(AY19-AE19)*(INDEX(pin!$X$6:$AN$42,MATCH(ΥΠΟΛΟΓΙΣΜΟΙ!AY19,pin!$V$6:$V$42,0),MATCH(ΥΠΟΛΟΓΙΣΜΟΙ!AW19,pin!$X$5:$AN$5,0))-INDEX(pin!$X$6:$AN$42,MATCH(ΥΠΟΛΟΓΙΣΜΟΙ!AZ19,pin!$V$6:$V$42,0),MATCH(ΥΠΟΛΟΓΙΣΜΟΙ!AW19,pin!$X$5:$AN$5,0)))</f>
        <v>1</v>
      </c>
      <c r="BD19" s="210">
        <f>INDEX(pin!$X$6:$AN$42,MATCH(ΥΠΟΛΟΓΙΣΜΟΙ!AY19,pin!$V$6:$V$42,0),MATCH(ΥΠΟΛΟΓΙΣΜΟΙ!AX19,pin!$X$5:$AN$5,0))+0.4*(AY19-AE19)*(INDEX(pin!$X$6:$AN$42,MATCH(ΥΠΟΛΟΓΙΣΜΟΙ!AY19,pin!$V$6:$V$42,0),MATCH(ΥΠΟΛΟΓΙΣΜΟΙ!AX19,pin!$X$5:$AN$5,0))-INDEX(pin!$X$6:$AN$42,MATCH(ΥΠΟΛΟΓΙΣΜΟΙ!AZ19,pin!$V$6:$V$42,0),MATCH(ΥΠΟΛΟΓΙΣΜΟΙ!AX19,pin!$X$5:$AN$5,0)))</f>
        <v>1</v>
      </c>
      <c r="BE19" s="209">
        <f t="shared" ref="BE19:BE32" si="22">IF(MROUND(AF19,2.5)-AF19&lt;=0,MROUND(AF19,2.5),MROUND(AF19,2.5)-2.5)</f>
        <v>0</v>
      </c>
      <c r="BF19" s="210">
        <f t="shared" ref="BF19:BF32" si="23">IF(MROUND(AF19,2.5)-AF19=0,MROUND(AF19,2.5),BE19+2.5)</f>
        <v>0</v>
      </c>
      <c r="BG19" s="210">
        <f>INDEX(pin!$D$48:$T$84,MATCH(ΥΠΟΛΟΓΙΣΜΟΙ!BE19,pin!$B$48:$B$84,0),MATCH(ΥΠΟΛΟΓΙΣΜΟΙ!AW19,pin!$D$47:$T$47,0))+0.4*(BE19-AF19)*(INDEX(pin!$D$48:$T$84,MATCH(ΥΠΟΛΟΓΙΣΜΟΙ!BE19,pin!$B$48:$B$84,0),MATCH(ΥΠΟΛΟΓΙΣΜΟΙ!AW19,pin!$D$47:$T$47,0))-INDEX(pin!$D$48:$T$84,MATCH(ΥΠΟΛΟΓΙΣΜΟΙ!BF19,pin!$B$48:$B$84,0),MATCH(ΥΠΟΛΟΓΙΣΜΟΙ!AW19,pin!$D$47:$T$47,0)))</f>
        <v>1</v>
      </c>
      <c r="BH19" s="210">
        <f>INDEX(pin!$D$48:$T$84,MATCH(ΥΠΟΛΟΓΙΣΜΟΙ!BE19,pin!$B$48:$B$84,0),MATCH(ΥΠΟΛΟΓΙΣΜΟΙ!AX19,pin!$D$47:$T$47,0))+0.4*(BE19-AF19)*(INDEX(pin!$D$48:$T$84,MATCH(ΥΠΟΛΟΓΙΣΜΟΙ!BE19,pin!$B$48:$B$84,0),MATCH(ΥΠΟΛΟΓΙΣΜΟΙ!AX19,pin!$D$47:$T$47,0))-INDEX(pin!$D$48:$T$84,MATCH(ΥΠΟΛΟΓΙΣΜΟΙ!BF19,pin!$B$48:$B$84,0),MATCH(ΥΠΟΛΟΓΙΣΜΟΙ!AX19,pin!$D$47:$T$47,0)))</f>
        <v>1</v>
      </c>
      <c r="BI19" s="209">
        <f>INDEX(pin!$X$48:$AN$84,MATCH(ΥΠΟΛΟΓΙΣΜΟΙ!BE19,pin!$V$48:$V$84,0),MATCH(ΥΠΟΛΟΓΙΣΜΟΙ!AW19,pin!$X$47:$AN$47,0))+0.4*(BE19-AF19)*(INDEX(pin!$X$48:$AN$84,MATCH(ΥΠΟΛΟΓΙΣΜΟΙ!BE19,pin!$V$48:$V$84,0),MATCH(ΥΠΟΛΟΓΙΣΜΟΙ!AW19,pin!$X$47:$AN$47,0))-INDEX(pin!$X$48:$AN$84,MATCH(ΥΠΟΛΟΓΙΣΜΟΙ!BF19,pin!$V$48:$V$84,0),MATCH(ΥΠΟΛΟΓΙΣΜΟΙ!AW19,pin!$X$47:$AN$47,0)))</f>
        <v>1</v>
      </c>
      <c r="BJ19" s="225">
        <f>INDEX(pin!$X$48:$AN$84,MATCH(ΥΠΟΛΟΓΙΣΜΟΙ!BE19,pin!$V$48:$V$84,0),MATCH(ΥΠΟΛΟΓΙΣΜΟΙ!AX19,pin!$X$47:$AN$47,0))+0.4*(BE19-AF19)*(INDEX(pin!$X$48:$AN$84,MATCH(ΥΠΟΛΟΓΙΣΜΟΙ!BE19,pin!$V$48:$V$84,0),MATCH(ΥΠΟΛΟΓΙΣΜΟΙ!AX19,pin!$X$47:$AN$47,0))-INDEX(pin!$X$48:$AN$84,MATCH(ΥΠΟΛΟΓΙΣΜΟΙ!BF19,pin!$V$48:$V$84,0),MATCH(ΥΠΟΛΟΓΙΣΜΟΙ!AX19,pin!$X$47:$AN$47,0)))</f>
        <v>1</v>
      </c>
      <c r="BK19" s="209">
        <f t="shared" ref="BK19:BK32" si="24">IF(MROUND(AG19,2.5)-AG19&lt;=0,MROUND(AG19,2.5),MROUND(AG19,2.5)-2.5)</f>
        <v>0</v>
      </c>
      <c r="BL19" s="210">
        <f t="shared" ref="BL19:BL32" si="25">IF(MROUND(AG19,2.5)-AG19=0,MROUND(AG19,2.5),BK19+2.5)</f>
        <v>0</v>
      </c>
      <c r="BM19" s="210">
        <f>INDEX(pin!$X$48:$AN$84,MATCH(ΥΠΟΛΟΓΙΣΜΟΙ!BK19,pin!$V$48:$V$84,0),MATCH(ΥΠΟΛΟΓΙΣΜΟΙ!AW19,pin!$X$47:$AN$47,0))+0.4*(BK19-AG19)*(INDEX(pin!$X$48:$AN$84,MATCH(ΥΠΟΛΟΓΙΣΜΟΙ!BK19,pin!$V$48:$V$84,0),MATCH(ΥΠΟΛΟΓΙΣΜΟΙ!AW19,pin!$X$47:$AN$47,0))-INDEX(pin!$X$48:$AN$84,MATCH(ΥΠΟΛΟΓΙΣΜΟΙ!BL19,pin!$V$48:$V$84,0),MATCH(ΥΠΟΛΟΓΙΣΜΟΙ!AW19,pin!$X$47:$AN$47,0)))</f>
        <v>1</v>
      </c>
      <c r="BN19" s="225">
        <f>INDEX(pin!$X$48:$AN$84,MATCH(ΥΠΟΛΟΓΙΣΜΟΙ!BK19,pin!$V$48:$V$84,0),MATCH(ΥΠΟΛΟΓΙΣΜΟΙ!AX19,pin!$X$47:$AN$47,0))+0.4*(BK19-AG19)*(INDEX(pin!$X$48:$AN$84,MATCH(ΥΠΟΛΟΓΙΣΜΟΙ!BK19,pin!$V$48:$V$84,0),MATCH(ΥΠΟΛΟΓΙΣΜΟΙ!AX19,pin!$X$47:$AN$47,0))-INDEX(pin!$X$48:$AN$84,MATCH(ΥΠΟΛΟΓΙΣΜΟΙ!BL19,pin!$V$48:$V$84,0),MATCH(ΥΠΟΛΟΓΙΣΜΟΙ!AX19,pin!$X$47:$AN$47,0)))</f>
        <v>1</v>
      </c>
      <c r="BO19" s="209">
        <f t="shared" ref="BO19:BO32" si="26">IF(MROUND(AH19,5)-AH19&lt;=0,MROUND(AH19,5),MROUND(AH19,5)-5)</f>
        <v>0</v>
      </c>
      <c r="BP19" s="210">
        <f t="shared" ref="BP19:BP32" si="27">IF(MROUND(AH19,5)-AH19=0,MROUND(AH19,5),BO19+5)</f>
        <v>0</v>
      </c>
      <c r="BQ19" s="210">
        <f>INDEX(pin!$D$114:$T$132,MATCH(ΥΠΟΛΟΓΙΣΜΟΙ!BO19,pin!$B$114:$B$132,0),MATCH(ΥΠΟΛΟΓΙΣΜΟΙ!AW19,pin!$D$113:$T$113,0))+0.2*(BO19-AH19)*(INDEX(pin!$D$114:$T$132,MATCH(ΥΠΟΛΟΓΙΣΜΟΙ!BO19,pin!$B$114:$B$132,0),MATCH(ΥΠΟΛΟΓΙΣΜΟΙ!AW19,pin!$D$113:$T$113,0))-INDEX(pin!$D$114:$T$132,MATCH(ΥΠΟΛΟΓΙΣΜΟΙ!BP19,pin!$B$114:$B$132,0),MATCH(ΥΠΟΛΟΓΙΣΜΟΙ!AW19,pin!$D$113:$T$113,0)))</f>
        <v>1</v>
      </c>
      <c r="BR19" s="210">
        <f>INDEX(pin!$D$114:$T$132,MATCH(ΥΠΟΛΟΓΙΣΜΟΙ!BO19,pin!$B$114:$B$132,0),MATCH(ΥΠΟΛΟΓΙΣΜΟΙ!AX19,pin!$D$113:$T$113,0))+0.2*(BO19-AH19)*(INDEX(pin!$D$114:$T$132,MATCH(ΥΠΟΛΟΓΙΣΜΟΙ!BO19,pin!$B$114:$B$132,0),MATCH(ΥΠΟΛΟΓΙΣΜΟΙ!AX19,pin!$D$113:$T$113,0))-INDEX(pin!$D$114:$T$132,MATCH(ΥΠΟΛΟΓΙΣΜΟΙ!BP19,pin!$B$114:$B$132,0),MATCH(ΥΠΟΛΟΓΙΣΜΟΙ!AX19,pin!$D$113:$T$113,0)))</f>
        <v>1</v>
      </c>
      <c r="BS19" s="209">
        <f>INDEX(pin!$X$114:$AN$132,MATCH(ΥΠΟΛΟΓΙΣΜΟΙ!BO19,pin!$V$114:$V$132,0),MATCH(ΥΠΟΛΟΓΙΣΜΟΙ!AW19,pin!$X$113:$AN$113,0))+0.2*(BO19-AH19)*(INDEX(pin!$X$114:$AN$132,MATCH(ΥΠΟΛΟΓΙΣΜΟΙ!BO19,pin!$V$114:$V$132,0),MATCH(ΥΠΟΛΟΓΙΣΜΟΙ!AW19,pin!$X$113:$AN$113,0))-INDEX(pin!$X$114:$AN$132,MATCH(ΥΠΟΛΟΓΙΣΜΟΙ!BP19,pin!$V$114:$V$132,0),MATCH(ΥΠΟΛΟΓΙΣΜΟΙ!AW19,pin!$X$113:$AN$113,0)))</f>
        <v>1</v>
      </c>
      <c r="BT19" s="225">
        <f>INDEX(pin!$X$114:$AN$132,MATCH(ΥΠΟΛΟΓΙΣΜΟΙ!BO19,pin!$V$114:$V$132,0),MATCH(ΥΠΟΛΟΓΙΣΜΟΙ!AX19,pin!$X$113:$AN$113,0))+0.2*(BO19-AH19)*(INDEX(pin!$X$114:$AN$132,MATCH(ΥΠΟΛΟΓΙΣΜΟΙ!BO19,pin!$V$114:$V$132,0),MATCH(ΥΠΟΛΟΓΙΣΜΟΙ!AX19,pin!$X$113:$AN$113,0))-INDEX(pin!$X$114:$AN$132,MATCH(ΥΠΟΛΟΓΙΣΜΟΙ!BP19,pin!$V$114:$V$132,0),MATCH(ΥΠΟΛΟΓΙΣΜΟΙ!AX19,pin!$X$113:$AN$113,0)))</f>
        <v>1</v>
      </c>
      <c r="BU19" s="209">
        <f t="shared" ref="BU19:BU32" si="28">IF(MROUND(AI19,5)-AI19&lt;=0,MROUND(AI19,5),MROUND(AI19,5)-5)</f>
        <v>0</v>
      </c>
      <c r="BV19" s="210">
        <f t="shared" ref="BV19:BV32" si="29">IF(MROUND(AI19,5)-AI19=0,MROUND(AI19,5),BU19+5)</f>
        <v>0</v>
      </c>
      <c r="BW19" s="210">
        <f>INDEX(pin!$D$90:$T$108,MATCH(ΥΠΟΛΟΓΙΣΜΟΙ!BU19,pin!$B$90:$B$108,0),MATCH(ΥΠΟΛΟΓΙΣΜΟΙ!AW19,pin!$D$89:$T$89,0))+0.2*(BU19-AI19)*(INDEX(pin!$D$90:$T$108,MATCH(ΥΠΟΛΟΓΙΣΜΟΙ!BU19,pin!$B$90:$B$108,0),MATCH(ΥΠΟΛΟΓΙΣΜΟΙ!AW19,pin!$D$89:$T$89,0))-INDEX(pin!$D$90:$T$108,MATCH(ΥΠΟΛΟΓΙΣΜΟΙ!BV19,pin!$B$90:$B$108,0),MATCH(ΥΠΟΛΟΓΙΣΜΟΙ!AW19,pin!$D$89:$T$89,0)))</f>
        <v>1</v>
      </c>
      <c r="BX19" s="225">
        <f>INDEX(pin!$D$90:$T$108,MATCH(ΥΠΟΛΟΓΙΣΜΟΙ!BU19,pin!$B$90:$B$108,0),MATCH(ΥΠΟΛΟΓΙΣΜΟΙ!AX19,pin!$D$89:$T$89,0))+0.2*(BU19-AI19)*(INDEX(pin!$D$90:$T$108,MATCH(ΥΠΟΛΟΓΙΣΜΟΙ!BU19,pin!$B$90:$B$108,0),MATCH(ΥΠΟΛΟΓΙΣΜΟΙ!AX19,pin!$D$89:$T$89,0))-INDEX(pin!$D$90:$T$108,MATCH(ΥΠΟΛΟΓΙΣΜΟΙ!BV19,pin!$B$90:$B$108,0),MATCH(ΥΠΟΛΟΓΙΣΜΟΙ!AX19,pin!$D$89:$T$89,0)))</f>
        <v>1</v>
      </c>
      <c r="BY19" s="210">
        <f>INDEX(pin!$X$90:$AN$108,MATCH(ΥΠΟΛΟΓΙΣΜΟΙ!BU19,pin!$V$90:$V$108,0),MATCH(ΥΠΟΛΟΓΙΣΜΟΙ!AW19,pin!$X$89:$AN$89,0))+0.2*(BU19-AI19)*(INDEX(pin!$X$90:$AN$108,MATCH(ΥΠΟΛΟΓΙΣΜΟΙ!BU19,pin!$V$90:$V$108,0),MATCH(ΥΠΟΛΟΓΙΣΜΟΙ!AW19,pin!$X$89:$AN$89,0))-INDEX(pin!$X$90:$AN$108,MATCH(ΥΠΟΛΟΓΙΣΜΟΙ!BV19,pin!$V$90:$V$108,0),MATCH(ΥΠΟΛΟΓΙΣΜΟΙ!AW19,pin!$X$89:$AN$89,0)))</f>
        <v>1</v>
      </c>
      <c r="BZ19" s="225">
        <f>INDEX(pin!$X$90:$AN$108,MATCH(ΥΠΟΛΟΓΙΣΜΟΙ!BU19,pin!$V$90:$V$108,0),MATCH(ΥΠΟΛΟΓΙΣΜΟΙ!AX19,pin!$X$89:$AN$89,0))+0.2*(BU19-AI19)*(INDEX(pin!$X$90:$AN$108,MATCH(ΥΠΟΛΟΓΙΣΜΟΙ!BU19,pin!$V$90:$V$108,0),MATCH(ΥΠΟΛΟΓΙΣΜΟΙ!AX19,pin!$X$89:$AN$89,0))-INDEX(pin!$X$90:$AN$108,MATCH(ΥΠΟΛΟΓΙΣΜΟΙ!BV19,pin!$V$90:$V$108,0),MATCH(ΥΠΟΛΟΓΙΣΜΟΙ!AX19,pin!$X$89:$AN$89,0)))</f>
        <v>1</v>
      </c>
      <c r="CA19" s="213"/>
    </row>
    <row r="20" spans="1:113">
      <c r="A20" s="56">
        <v>3</v>
      </c>
      <c r="B20" s="128"/>
      <c r="C20" s="126"/>
      <c r="D20" s="126"/>
      <c r="E20" s="47" t="str">
        <f t="shared" si="1"/>
        <v>-</v>
      </c>
      <c r="F20" s="126"/>
      <c r="G20" s="269" t="str">
        <f t="shared" si="2"/>
        <v>-</v>
      </c>
      <c r="H20" s="270"/>
      <c r="I20" s="126"/>
      <c r="J20" s="126"/>
      <c r="K20" s="265" t="str">
        <f t="shared" si="3"/>
        <v>-</v>
      </c>
      <c r="L20" s="264"/>
      <c r="M20" s="129"/>
      <c r="N20" s="200" t="str">
        <f>IF(L20="","-",IFERROR(IF(C20&lt;0,"-",INDEX(pin!$AR$6:$AR$22,MATCH(MROUND(ΥΠΟΛΟΓΙΣΜΟΙ!L20,22.5),pin!$AQ$6:$AQ$22))),"-"))</f>
        <v>-</v>
      </c>
      <c r="O20" s="46">
        <f t="shared" si="4"/>
        <v>1</v>
      </c>
      <c r="P20" s="130">
        <f t="shared" ref="P20:P32" si="30">IF(L20=-1,0,IF(C20&gt;=0,IF(K20&gt;0.6,BC20+0.0444*(L20-AW20)*(BD20-BC20),1),0))</f>
        <v>1</v>
      </c>
      <c r="Q20" s="46">
        <f t="shared" si="5"/>
        <v>1</v>
      </c>
      <c r="R20" s="130">
        <f t="shared" si="6"/>
        <v>1</v>
      </c>
      <c r="S20" s="46">
        <f t="shared" si="7"/>
        <v>1</v>
      </c>
      <c r="T20" s="130">
        <f t="shared" si="8"/>
        <v>1</v>
      </c>
      <c r="U20" s="131"/>
      <c r="V20" s="132"/>
      <c r="W20" s="126"/>
      <c r="X20" s="127"/>
      <c r="Y20" s="182"/>
      <c r="Z20" s="132"/>
      <c r="AA20" s="126"/>
      <c r="AB20" s="126"/>
      <c r="AC20" s="131"/>
      <c r="AD20" s="127"/>
      <c r="AE20" s="226">
        <f t="shared" si="0"/>
        <v>0</v>
      </c>
      <c r="AF20" s="202">
        <f t="shared" si="9"/>
        <v>0</v>
      </c>
      <c r="AG20" s="202">
        <f t="shared" si="10"/>
        <v>0</v>
      </c>
      <c r="AH20" s="202">
        <f t="shared" si="11"/>
        <v>0</v>
      </c>
      <c r="AI20" s="202">
        <f t="shared" si="12"/>
        <v>0</v>
      </c>
      <c r="AJ20" s="203">
        <f t="shared" si="13"/>
        <v>1</v>
      </c>
      <c r="AK20" s="203">
        <f t="shared" si="14"/>
        <v>1</v>
      </c>
      <c r="AL20" s="203">
        <f t="shared" si="15"/>
        <v>1</v>
      </c>
      <c r="AM20" s="203">
        <f t="shared" si="16"/>
        <v>1</v>
      </c>
      <c r="AN20" s="209">
        <f t="shared" si="17"/>
        <v>0</v>
      </c>
      <c r="AO20" s="210"/>
      <c r="AP20" s="210"/>
      <c r="AQ20" s="210"/>
      <c r="AR20" s="210"/>
      <c r="AS20" s="210"/>
      <c r="AT20" s="210"/>
      <c r="AU20" s="210"/>
      <c r="AV20" s="210" t="s">
        <v>268</v>
      </c>
      <c r="AW20" s="210">
        <f t="shared" si="18"/>
        <v>0</v>
      </c>
      <c r="AX20" s="225">
        <f t="shared" si="19"/>
        <v>0</v>
      </c>
      <c r="AY20" s="209">
        <f t="shared" si="20"/>
        <v>0</v>
      </c>
      <c r="AZ20" s="210">
        <f t="shared" si="21"/>
        <v>0</v>
      </c>
      <c r="BA20" s="210">
        <f>INDEX(pin!$D$6:$T$42,MATCH(ΥΠΟΛΟΓΙΣΜΟΙ!AY20,pin!$B$6:$B$42,0),MATCH(ΥΠΟΛΟΓΙΣΜΟΙ!AW20,pin!$D$5:$T$5,0))+0.4*(AY20-AE20)*(INDEX(pin!$D$6:$T$42,MATCH(ΥΠΟΛΟΓΙΣΜΟΙ!AY20,pin!$B$6:$B$42,0),MATCH(ΥΠΟΛΟΓΙΣΜΟΙ!AW20,pin!$D$5:$T$5,0))-INDEX(pin!$D$6:$T$42,MATCH(ΥΠΟΛΟΓΙΣΜΟΙ!AZ20,pin!$B$6:$B$42,0),MATCH(ΥΠΟΛΟΓΙΣΜΟΙ!AW20,pin!$D$5:$T$5,0)))</f>
        <v>1</v>
      </c>
      <c r="BB20" s="225">
        <f>INDEX(pin!$D$6:$T$42,MATCH(ΥΠΟΛΟΓΙΣΜΟΙ!AY20,pin!$B$6:$B$42,0),MATCH(ΥΠΟΛΟΓΙΣΜΟΙ!AX20,pin!$D$5:$T$5,0))+0.4*(AY20-AE20)*(INDEX(pin!$D$6:$T$42,MATCH(ΥΠΟΛΟΓΙΣΜΟΙ!AY20,pin!$B$6:$B$42,0),MATCH(ΥΠΟΛΟΓΙΣΜΟΙ!AX20,pin!$D$5:$T$5,0))-INDEX(pin!$D$6:$T$42,MATCH(ΥΠΟΛΟΓΙΣΜΟΙ!AZ20,pin!$B$6:$B$42,0),MATCH(ΥΠΟΛΟΓΙΣΜΟΙ!AX20,pin!$D$5:$T$5,0)))</f>
        <v>1</v>
      </c>
      <c r="BC20" s="210">
        <f>INDEX(pin!$X$6:$AN$42,MATCH(ΥΠΟΛΟΓΙΣΜΟΙ!AY20,pin!$V$6:$V$42,0),MATCH(ΥΠΟΛΟΓΙΣΜΟΙ!AW20,pin!$X$5:$AN$5,0))+0.4*(AY20-AE20)*(INDEX(pin!$X$6:$AN$42,MATCH(ΥΠΟΛΟΓΙΣΜΟΙ!AY20,pin!$V$6:$V$42,0),MATCH(ΥΠΟΛΟΓΙΣΜΟΙ!AW20,pin!$X$5:$AN$5,0))-INDEX(pin!$X$6:$AN$42,MATCH(ΥΠΟΛΟΓΙΣΜΟΙ!AZ20,pin!$V$6:$V$42,0),MATCH(ΥΠΟΛΟΓΙΣΜΟΙ!AW20,pin!$X$5:$AN$5,0)))</f>
        <v>1</v>
      </c>
      <c r="BD20" s="210">
        <f>INDEX(pin!$X$6:$AN$42,MATCH(ΥΠΟΛΟΓΙΣΜΟΙ!AY20,pin!$V$6:$V$42,0),MATCH(ΥΠΟΛΟΓΙΣΜΟΙ!AX20,pin!$X$5:$AN$5,0))+0.4*(AY20-AE20)*(INDEX(pin!$X$6:$AN$42,MATCH(ΥΠΟΛΟΓΙΣΜΟΙ!AY20,pin!$V$6:$V$42,0),MATCH(ΥΠΟΛΟΓΙΣΜΟΙ!AX20,pin!$X$5:$AN$5,0))-INDEX(pin!$X$6:$AN$42,MATCH(ΥΠΟΛΟΓΙΣΜΟΙ!AZ20,pin!$V$6:$V$42,0),MATCH(ΥΠΟΛΟΓΙΣΜΟΙ!AX20,pin!$X$5:$AN$5,0)))</f>
        <v>1</v>
      </c>
      <c r="BE20" s="209">
        <f t="shared" si="22"/>
        <v>0</v>
      </c>
      <c r="BF20" s="210">
        <f t="shared" si="23"/>
        <v>0</v>
      </c>
      <c r="BG20" s="210">
        <f>INDEX(pin!$D$48:$T$84,MATCH(ΥΠΟΛΟΓΙΣΜΟΙ!BE20,pin!$B$48:$B$84,0),MATCH(ΥΠΟΛΟΓΙΣΜΟΙ!AW20,pin!$D$47:$T$47,0))+0.4*(BE20-AF20)*(INDEX(pin!$D$48:$T$84,MATCH(ΥΠΟΛΟΓΙΣΜΟΙ!BE20,pin!$B$48:$B$84,0),MATCH(ΥΠΟΛΟΓΙΣΜΟΙ!AW20,pin!$D$47:$T$47,0))-INDEX(pin!$D$48:$T$84,MATCH(ΥΠΟΛΟΓΙΣΜΟΙ!BF20,pin!$B$48:$B$84,0),MATCH(ΥΠΟΛΟΓΙΣΜΟΙ!AW20,pin!$D$47:$T$47,0)))</f>
        <v>1</v>
      </c>
      <c r="BH20" s="210">
        <f>INDEX(pin!$D$48:$T$84,MATCH(ΥΠΟΛΟΓΙΣΜΟΙ!BE20,pin!$B$48:$B$84,0),MATCH(ΥΠΟΛΟΓΙΣΜΟΙ!AX20,pin!$D$47:$T$47,0))+0.4*(BE20-AF20)*(INDEX(pin!$D$48:$T$84,MATCH(ΥΠΟΛΟΓΙΣΜΟΙ!BE20,pin!$B$48:$B$84,0),MATCH(ΥΠΟΛΟΓΙΣΜΟΙ!AX20,pin!$D$47:$T$47,0))-INDEX(pin!$D$48:$T$84,MATCH(ΥΠΟΛΟΓΙΣΜΟΙ!BF20,pin!$B$48:$B$84,0),MATCH(ΥΠΟΛΟΓΙΣΜΟΙ!AX20,pin!$D$47:$T$47,0)))</f>
        <v>1</v>
      </c>
      <c r="BI20" s="209">
        <f>INDEX(pin!$X$48:$AN$84,MATCH(ΥΠΟΛΟΓΙΣΜΟΙ!BE20,pin!$V$48:$V$84,0),MATCH(ΥΠΟΛΟΓΙΣΜΟΙ!AW20,pin!$X$47:$AN$47,0))+0.4*(BE20-AF20)*(INDEX(pin!$X$48:$AN$84,MATCH(ΥΠΟΛΟΓΙΣΜΟΙ!BE20,pin!$V$48:$V$84,0),MATCH(ΥΠΟΛΟΓΙΣΜΟΙ!AW20,pin!$X$47:$AN$47,0))-INDEX(pin!$X$48:$AN$84,MATCH(ΥΠΟΛΟΓΙΣΜΟΙ!BF20,pin!$V$48:$V$84,0),MATCH(ΥΠΟΛΟΓΙΣΜΟΙ!AW20,pin!$X$47:$AN$47,0)))</f>
        <v>1</v>
      </c>
      <c r="BJ20" s="225">
        <f>INDEX(pin!$X$48:$AN$84,MATCH(ΥΠΟΛΟΓΙΣΜΟΙ!BE20,pin!$V$48:$V$84,0),MATCH(ΥΠΟΛΟΓΙΣΜΟΙ!AX20,pin!$X$47:$AN$47,0))+0.4*(BE20-AF20)*(INDEX(pin!$X$48:$AN$84,MATCH(ΥΠΟΛΟΓΙΣΜΟΙ!BE20,pin!$V$48:$V$84,0),MATCH(ΥΠΟΛΟΓΙΣΜΟΙ!AX20,pin!$X$47:$AN$47,0))-INDEX(pin!$X$48:$AN$84,MATCH(ΥΠΟΛΟΓΙΣΜΟΙ!BF20,pin!$V$48:$V$84,0),MATCH(ΥΠΟΛΟΓΙΣΜΟΙ!AX20,pin!$X$47:$AN$47,0)))</f>
        <v>1</v>
      </c>
      <c r="BK20" s="209">
        <f t="shared" si="24"/>
        <v>0</v>
      </c>
      <c r="BL20" s="210">
        <f t="shared" si="25"/>
        <v>0</v>
      </c>
      <c r="BM20" s="210">
        <f>INDEX(pin!$X$48:$AN$84,MATCH(ΥΠΟΛΟΓΙΣΜΟΙ!BK20,pin!$V$48:$V$84,0),MATCH(ΥΠΟΛΟΓΙΣΜΟΙ!AW20,pin!$X$47:$AN$47,0))+0.4*(BK20-AG20)*(INDEX(pin!$X$48:$AN$84,MATCH(ΥΠΟΛΟΓΙΣΜΟΙ!BK20,pin!$V$48:$V$84,0),MATCH(ΥΠΟΛΟΓΙΣΜΟΙ!AW20,pin!$X$47:$AN$47,0))-INDEX(pin!$X$48:$AN$84,MATCH(ΥΠΟΛΟΓΙΣΜΟΙ!BL20,pin!$V$48:$V$84,0),MATCH(ΥΠΟΛΟΓΙΣΜΟΙ!AW20,pin!$X$47:$AN$47,0)))</f>
        <v>1</v>
      </c>
      <c r="BN20" s="225">
        <f>INDEX(pin!$X$48:$AN$84,MATCH(ΥΠΟΛΟΓΙΣΜΟΙ!BK20,pin!$V$48:$V$84,0),MATCH(ΥΠΟΛΟΓΙΣΜΟΙ!AX20,pin!$X$47:$AN$47,0))+0.4*(BK20-AG20)*(INDEX(pin!$X$48:$AN$84,MATCH(ΥΠΟΛΟΓΙΣΜΟΙ!BK20,pin!$V$48:$V$84,0),MATCH(ΥΠΟΛΟΓΙΣΜΟΙ!AX20,pin!$X$47:$AN$47,0))-INDEX(pin!$X$48:$AN$84,MATCH(ΥΠΟΛΟΓΙΣΜΟΙ!BL20,pin!$V$48:$V$84,0),MATCH(ΥΠΟΛΟΓΙΣΜΟΙ!AX20,pin!$X$47:$AN$47,0)))</f>
        <v>1</v>
      </c>
      <c r="BO20" s="209">
        <f t="shared" si="26"/>
        <v>0</v>
      </c>
      <c r="BP20" s="210">
        <f t="shared" si="27"/>
        <v>0</v>
      </c>
      <c r="BQ20" s="210">
        <f>INDEX(pin!$D$114:$T$132,MATCH(ΥΠΟΛΟΓΙΣΜΟΙ!BO20,pin!$B$114:$B$132,0),MATCH(ΥΠΟΛΟΓΙΣΜΟΙ!AW20,pin!$D$113:$T$113,0))+0.2*(BO20-AH20)*(INDEX(pin!$D$114:$T$132,MATCH(ΥΠΟΛΟΓΙΣΜΟΙ!BO20,pin!$B$114:$B$132,0),MATCH(ΥΠΟΛΟΓΙΣΜΟΙ!AW20,pin!$D$113:$T$113,0))-INDEX(pin!$D$114:$T$132,MATCH(ΥΠΟΛΟΓΙΣΜΟΙ!BP20,pin!$B$114:$B$132,0),MATCH(ΥΠΟΛΟΓΙΣΜΟΙ!AW20,pin!$D$113:$T$113,0)))</f>
        <v>1</v>
      </c>
      <c r="BR20" s="210">
        <f>INDEX(pin!$D$114:$T$132,MATCH(ΥΠΟΛΟΓΙΣΜΟΙ!BO20,pin!$B$114:$B$132,0),MATCH(ΥΠΟΛΟΓΙΣΜΟΙ!AX20,pin!$D$113:$T$113,0))+0.2*(BO20-AH20)*(INDEX(pin!$D$114:$T$132,MATCH(ΥΠΟΛΟΓΙΣΜΟΙ!BO20,pin!$B$114:$B$132,0),MATCH(ΥΠΟΛΟΓΙΣΜΟΙ!AX20,pin!$D$113:$T$113,0))-INDEX(pin!$D$114:$T$132,MATCH(ΥΠΟΛΟΓΙΣΜΟΙ!BP20,pin!$B$114:$B$132,0),MATCH(ΥΠΟΛΟΓΙΣΜΟΙ!AX20,pin!$D$113:$T$113,0)))</f>
        <v>1</v>
      </c>
      <c r="BS20" s="209">
        <f>INDEX(pin!$X$114:$AN$132,MATCH(ΥΠΟΛΟΓΙΣΜΟΙ!BO20,pin!$V$114:$V$132,0),MATCH(ΥΠΟΛΟΓΙΣΜΟΙ!AW20,pin!$X$113:$AN$113,0))+0.2*(BO20-AH20)*(INDEX(pin!$X$114:$AN$132,MATCH(ΥΠΟΛΟΓΙΣΜΟΙ!BO20,pin!$V$114:$V$132,0),MATCH(ΥΠΟΛΟΓΙΣΜΟΙ!AW20,pin!$X$113:$AN$113,0))-INDEX(pin!$X$114:$AN$132,MATCH(ΥΠΟΛΟΓΙΣΜΟΙ!BP20,pin!$V$114:$V$132,0),MATCH(ΥΠΟΛΟΓΙΣΜΟΙ!AW20,pin!$X$113:$AN$113,0)))</f>
        <v>1</v>
      </c>
      <c r="BT20" s="225">
        <f>INDEX(pin!$X$114:$AN$132,MATCH(ΥΠΟΛΟΓΙΣΜΟΙ!BO20,pin!$V$114:$V$132,0),MATCH(ΥΠΟΛΟΓΙΣΜΟΙ!AX20,pin!$X$113:$AN$113,0))+0.2*(BO20-AH20)*(INDEX(pin!$X$114:$AN$132,MATCH(ΥΠΟΛΟΓΙΣΜΟΙ!BO20,pin!$V$114:$V$132,0),MATCH(ΥΠΟΛΟΓΙΣΜΟΙ!AX20,pin!$X$113:$AN$113,0))-INDEX(pin!$X$114:$AN$132,MATCH(ΥΠΟΛΟΓΙΣΜΟΙ!BP20,pin!$V$114:$V$132,0),MATCH(ΥΠΟΛΟΓΙΣΜΟΙ!AX20,pin!$X$113:$AN$113,0)))</f>
        <v>1</v>
      </c>
      <c r="BU20" s="209">
        <f t="shared" si="28"/>
        <v>0</v>
      </c>
      <c r="BV20" s="210">
        <f t="shared" si="29"/>
        <v>0</v>
      </c>
      <c r="BW20" s="210">
        <f>INDEX(pin!$D$90:$T$108,MATCH(ΥΠΟΛΟΓΙΣΜΟΙ!BU20,pin!$B$90:$B$108,0),MATCH(ΥΠΟΛΟΓΙΣΜΟΙ!AW20,pin!$D$89:$T$89,0))+0.2*(BU20-AI20)*(INDEX(pin!$D$90:$T$108,MATCH(ΥΠΟΛΟΓΙΣΜΟΙ!BU20,pin!$B$90:$B$108,0),MATCH(ΥΠΟΛΟΓΙΣΜΟΙ!AW20,pin!$D$89:$T$89,0))-INDEX(pin!$D$90:$T$108,MATCH(ΥΠΟΛΟΓΙΣΜΟΙ!BV20,pin!$B$90:$B$108,0),MATCH(ΥΠΟΛΟΓΙΣΜΟΙ!AW20,pin!$D$89:$T$89,0)))</f>
        <v>1</v>
      </c>
      <c r="BX20" s="225">
        <f>INDEX(pin!$D$90:$T$108,MATCH(ΥΠΟΛΟΓΙΣΜΟΙ!BU20,pin!$B$90:$B$108,0),MATCH(ΥΠΟΛΟΓΙΣΜΟΙ!AX20,pin!$D$89:$T$89,0))+0.2*(BU20-AI20)*(INDEX(pin!$D$90:$T$108,MATCH(ΥΠΟΛΟΓΙΣΜΟΙ!BU20,pin!$B$90:$B$108,0),MATCH(ΥΠΟΛΟΓΙΣΜΟΙ!AX20,pin!$D$89:$T$89,0))-INDEX(pin!$D$90:$T$108,MATCH(ΥΠΟΛΟΓΙΣΜΟΙ!BV20,pin!$B$90:$B$108,0),MATCH(ΥΠΟΛΟΓΙΣΜΟΙ!AX20,pin!$D$89:$T$89,0)))</f>
        <v>1</v>
      </c>
      <c r="BY20" s="210">
        <f>INDEX(pin!$X$90:$AN$108,MATCH(ΥΠΟΛΟΓΙΣΜΟΙ!BU20,pin!$V$90:$V$108,0),MATCH(ΥΠΟΛΟΓΙΣΜΟΙ!AW20,pin!$X$89:$AN$89,0))+0.2*(BU20-AI20)*(INDEX(pin!$X$90:$AN$108,MATCH(ΥΠΟΛΟΓΙΣΜΟΙ!BU20,pin!$V$90:$V$108,0),MATCH(ΥΠΟΛΟΓΙΣΜΟΙ!AW20,pin!$X$89:$AN$89,0))-INDEX(pin!$X$90:$AN$108,MATCH(ΥΠΟΛΟΓΙΣΜΟΙ!BV20,pin!$V$90:$V$108,0),MATCH(ΥΠΟΛΟΓΙΣΜΟΙ!AW20,pin!$X$89:$AN$89,0)))</f>
        <v>1</v>
      </c>
      <c r="BZ20" s="225">
        <f>INDEX(pin!$X$90:$AN$108,MATCH(ΥΠΟΛΟΓΙΣΜΟΙ!BU20,pin!$V$90:$V$108,0),MATCH(ΥΠΟΛΟΓΙΣΜΟΙ!AX20,pin!$X$89:$AN$89,0))+0.2*(BU20-AI20)*(INDEX(pin!$X$90:$AN$108,MATCH(ΥΠΟΛΟΓΙΣΜΟΙ!BU20,pin!$V$90:$V$108,0),MATCH(ΥΠΟΛΟΓΙΣΜΟΙ!AX20,pin!$X$89:$AN$89,0))-INDEX(pin!$X$90:$AN$108,MATCH(ΥΠΟΛΟΓΙΣΜΟΙ!BV20,pin!$V$90:$V$108,0),MATCH(ΥΠΟΛΟΓΙΣΜΟΙ!AX20,pin!$X$89:$AN$89,0)))</f>
        <v>1</v>
      </c>
      <c r="CA20" s="213"/>
      <c r="DF20" s="260"/>
      <c r="DI20" s="260"/>
    </row>
    <row r="21" spans="1:113">
      <c r="A21" s="56">
        <v>4</v>
      </c>
      <c r="B21" s="128"/>
      <c r="C21" s="126"/>
      <c r="D21" s="126"/>
      <c r="E21" s="47" t="str">
        <f t="shared" si="1"/>
        <v>-</v>
      </c>
      <c r="F21" s="126"/>
      <c r="G21" s="269" t="str">
        <f t="shared" si="2"/>
        <v>-</v>
      </c>
      <c r="H21" s="270"/>
      <c r="I21" s="126"/>
      <c r="J21" s="126"/>
      <c r="K21" s="265" t="str">
        <f t="shared" si="3"/>
        <v>-</v>
      </c>
      <c r="L21" s="264"/>
      <c r="M21" s="129"/>
      <c r="N21" s="200" t="str">
        <f>IF(L21="","-",IFERROR(IF(C21&lt;0,"-",INDEX(pin!$AR$6:$AR$22,MATCH(MROUND(ΥΠΟΛΟΓΙΣΜΟΙ!L21,22.5),pin!$AQ$6:$AQ$22))),"-"))</f>
        <v>-</v>
      </c>
      <c r="O21" s="46">
        <f t="shared" si="4"/>
        <v>1</v>
      </c>
      <c r="P21" s="130">
        <f t="shared" si="30"/>
        <v>1</v>
      </c>
      <c r="Q21" s="46">
        <f t="shared" si="5"/>
        <v>1</v>
      </c>
      <c r="R21" s="130">
        <f t="shared" si="6"/>
        <v>1</v>
      </c>
      <c r="S21" s="46">
        <f t="shared" si="7"/>
        <v>1</v>
      </c>
      <c r="T21" s="130">
        <f t="shared" si="8"/>
        <v>1</v>
      </c>
      <c r="U21" s="300"/>
      <c r="V21" s="132"/>
      <c r="W21" s="126"/>
      <c r="X21" s="127"/>
      <c r="Y21" s="182"/>
      <c r="Z21" s="132"/>
      <c r="AA21" s="126"/>
      <c r="AB21" s="126"/>
      <c r="AC21" s="131"/>
      <c r="AD21" s="127"/>
      <c r="AE21" s="226">
        <f t="shared" si="0"/>
        <v>0</v>
      </c>
      <c r="AF21" s="202">
        <f t="shared" si="9"/>
        <v>0</v>
      </c>
      <c r="AG21" s="202">
        <f t="shared" si="10"/>
        <v>0</v>
      </c>
      <c r="AH21" s="202">
        <f t="shared" si="11"/>
        <v>0</v>
      </c>
      <c r="AI21" s="202">
        <f t="shared" si="12"/>
        <v>0</v>
      </c>
      <c r="AJ21" s="203">
        <f t="shared" si="13"/>
        <v>1</v>
      </c>
      <c r="AK21" s="203">
        <f t="shared" si="14"/>
        <v>1</v>
      </c>
      <c r="AL21" s="203">
        <f t="shared" si="15"/>
        <v>1</v>
      </c>
      <c r="AM21" s="203">
        <f t="shared" si="16"/>
        <v>1</v>
      </c>
      <c r="AN21" s="209">
        <f t="shared" si="17"/>
        <v>0</v>
      </c>
      <c r="AO21" s="210"/>
      <c r="AP21" s="210"/>
      <c r="AQ21" s="210"/>
      <c r="AR21" s="210"/>
      <c r="AS21" s="210"/>
      <c r="AT21" s="210"/>
      <c r="AU21" s="210"/>
      <c r="AV21" s="210" t="s">
        <v>268</v>
      </c>
      <c r="AW21" s="210">
        <f t="shared" si="18"/>
        <v>0</v>
      </c>
      <c r="AX21" s="225">
        <f t="shared" si="19"/>
        <v>0</v>
      </c>
      <c r="AY21" s="209">
        <f t="shared" si="20"/>
        <v>0</v>
      </c>
      <c r="AZ21" s="210">
        <f t="shared" si="21"/>
        <v>0</v>
      </c>
      <c r="BA21" s="210">
        <f>INDEX(pin!$D$6:$T$42,MATCH(ΥΠΟΛΟΓΙΣΜΟΙ!AY21,pin!$B$6:$B$42,0),MATCH(ΥΠΟΛΟΓΙΣΜΟΙ!AW21,pin!$D$5:$T$5,0))+0.4*(AY21-AE21)*(INDEX(pin!$D$6:$T$42,MATCH(ΥΠΟΛΟΓΙΣΜΟΙ!AY21,pin!$B$6:$B$42,0),MATCH(ΥΠΟΛΟΓΙΣΜΟΙ!AW21,pin!$D$5:$T$5,0))-INDEX(pin!$D$6:$T$42,MATCH(ΥΠΟΛΟΓΙΣΜΟΙ!AZ21,pin!$B$6:$B$42,0),MATCH(ΥΠΟΛΟΓΙΣΜΟΙ!AW21,pin!$D$5:$T$5,0)))</f>
        <v>1</v>
      </c>
      <c r="BB21" s="225">
        <f>INDEX(pin!$D$6:$T$42,MATCH(ΥΠΟΛΟΓΙΣΜΟΙ!AY21,pin!$B$6:$B$42,0),MATCH(ΥΠΟΛΟΓΙΣΜΟΙ!AX21,pin!$D$5:$T$5,0))+0.4*(AY21-AE21)*(INDEX(pin!$D$6:$T$42,MATCH(ΥΠΟΛΟΓΙΣΜΟΙ!AY21,pin!$B$6:$B$42,0),MATCH(ΥΠΟΛΟΓΙΣΜΟΙ!AX21,pin!$D$5:$T$5,0))-INDEX(pin!$D$6:$T$42,MATCH(ΥΠΟΛΟΓΙΣΜΟΙ!AZ21,pin!$B$6:$B$42,0),MATCH(ΥΠΟΛΟΓΙΣΜΟΙ!AX21,pin!$D$5:$T$5,0)))</f>
        <v>1</v>
      </c>
      <c r="BC21" s="210">
        <f>INDEX(pin!$X$6:$AN$42,MATCH(ΥΠΟΛΟΓΙΣΜΟΙ!AY21,pin!$V$6:$V$42,0),MATCH(ΥΠΟΛΟΓΙΣΜΟΙ!AW21,pin!$X$5:$AN$5,0))+0.4*(AY21-AE21)*(INDEX(pin!$X$6:$AN$42,MATCH(ΥΠΟΛΟΓΙΣΜΟΙ!AY21,pin!$V$6:$V$42,0),MATCH(ΥΠΟΛΟΓΙΣΜΟΙ!AW21,pin!$X$5:$AN$5,0))-INDEX(pin!$X$6:$AN$42,MATCH(ΥΠΟΛΟΓΙΣΜΟΙ!AZ21,pin!$V$6:$V$42,0),MATCH(ΥΠΟΛΟΓΙΣΜΟΙ!AW21,pin!$X$5:$AN$5,0)))</f>
        <v>1</v>
      </c>
      <c r="BD21" s="210">
        <f>INDEX(pin!$X$6:$AN$42,MATCH(ΥΠΟΛΟΓΙΣΜΟΙ!AY21,pin!$V$6:$V$42,0),MATCH(ΥΠΟΛΟΓΙΣΜΟΙ!AX21,pin!$X$5:$AN$5,0))+0.4*(AY21-AE21)*(INDEX(pin!$X$6:$AN$42,MATCH(ΥΠΟΛΟΓΙΣΜΟΙ!AY21,pin!$V$6:$V$42,0),MATCH(ΥΠΟΛΟΓΙΣΜΟΙ!AX21,pin!$X$5:$AN$5,0))-INDEX(pin!$X$6:$AN$42,MATCH(ΥΠΟΛΟΓΙΣΜΟΙ!AZ21,pin!$V$6:$V$42,0),MATCH(ΥΠΟΛΟΓΙΣΜΟΙ!AX21,pin!$X$5:$AN$5,0)))</f>
        <v>1</v>
      </c>
      <c r="BE21" s="209">
        <f t="shared" si="22"/>
        <v>0</v>
      </c>
      <c r="BF21" s="210">
        <f t="shared" si="23"/>
        <v>0</v>
      </c>
      <c r="BG21" s="210">
        <f>INDEX(pin!$D$48:$T$84,MATCH(ΥΠΟΛΟΓΙΣΜΟΙ!BE21,pin!$B$48:$B$84,0),MATCH(ΥΠΟΛΟΓΙΣΜΟΙ!AW21,pin!$D$47:$T$47,0))+0.4*(BE21-AF21)*(INDEX(pin!$D$48:$T$84,MATCH(ΥΠΟΛΟΓΙΣΜΟΙ!BE21,pin!$B$48:$B$84,0),MATCH(ΥΠΟΛΟΓΙΣΜΟΙ!AW21,pin!$D$47:$T$47,0))-INDEX(pin!$D$48:$T$84,MATCH(ΥΠΟΛΟΓΙΣΜΟΙ!BF21,pin!$B$48:$B$84,0),MATCH(ΥΠΟΛΟΓΙΣΜΟΙ!AW21,pin!$D$47:$T$47,0)))</f>
        <v>1</v>
      </c>
      <c r="BH21" s="210">
        <f>INDEX(pin!$D$48:$T$84,MATCH(ΥΠΟΛΟΓΙΣΜΟΙ!BE21,pin!$B$48:$B$84,0),MATCH(ΥΠΟΛΟΓΙΣΜΟΙ!AX21,pin!$D$47:$T$47,0))+0.4*(BE21-AF21)*(INDEX(pin!$D$48:$T$84,MATCH(ΥΠΟΛΟΓΙΣΜΟΙ!BE21,pin!$B$48:$B$84,0),MATCH(ΥΠΟΛΟΓΙΣΜΟΙ!AX21,pin!$D$47:$T$47,0))-INDEX(pin!$D$48:$T$84,MATCH(ΥΠΟΛΟΓΙΣΜΟΙ!BF21,pin!$B$48:$B$84,0),MATCH(ΥΠΟΛΟΓΙΣΜΟΙ!AX21,pin!$D$47:$T$47,0)))</f>
        <v>1</v>
      </c>
      <c r="BI21" s="209">
        <f>INDEX(pin!$X$48:$AN$84,MATCH(ΥΠΟΛΟΓΙΣΜΟΙ!BE21,pin!$V$48:$V$84,0),MATCH(ΥΠΟΛΟΓΙΣΜΟΙ!AW21,pin!$X$47:$AN$47,0))+0.4*(BE21-AF21)*(INDEX(pin!$X$48:$AN$84,MATCH(ΥΠΟΛΟΓΙΣΜΟΙ!BE21,pin!$V$48:$V$84,0),MATCH(ΥΠΟΛΟΓΙΣΜΟΙ!AW21,pin!$X$47:$AN$47,0))-INDEX(pin!$X$48:$AN$84,MATCH(ΥΠΟΛΟΓΙΣΜΟΙ!BF21,pin!$V$48:$V$84,0),MATCH(ΥΠΟΛΟΓΙΣΜΟΙ!AW21,pin!$X$47:$AN$47,0)))</f>
        <v>1</v>
      </c>
      <c r="BJ21" s="225">
        <f>INDEX(pin!$X$48:$AN$84,MATCH(ΥΠΟΛΟΓΙΣΜΟΙ!BE21,pin!$V$48:$V$84,0),MATCH(ΥΠΟΛΟΓΙΣΜΟΙ!AX21,pin!$X$47:$AN$47,0))+0.4*(BE21-AF21)*(INDEX(pin!$X$48:$AN$84,MATCH(ΥΠΟΛΟΓΙΣΜΟΙ!BE21,pin!$V$48:$V$84,0),MATCH(ΥΠΟΛΟΓΙΣΜΟΙ!AX21,pin!$X$47:$AN$47,0))-INDEX(pin!$X$48:$AN$84,MATCH(ΥΠΟΛΟΓΙΣΜΟΙ!BF21,pin!$V$48:$V$84,0),MATCH(ΥΠΟΛΟΓΙΣΜΟΙ!AX21,pin!$X$47:$AN$47,0)))</f>
        <v>1</v>
      </c>
      <c r="BK21" s="209">
        <f t="shared" si="24"/>
        <v>0</v>
      </c>
      <c r="BL21" s="210">
        <f t="shared" si="25"/>
        <v>0</v>
      </c>
      <c r="BM21" s="210">
        <f>INDEX(pin!$X$48:$AN$84,MATCH(ΥΠΟΛΟΓΙΣΜΟΙ!BK21,pin!$V$48:$V$84,0),MATCH(ΥΠΟΛΟΓΙΣΜΟΙ!AW21,pin!$X$47:$AN$47,0))+0.4*(BK21-AG21)*(INDEX(pin!$X$48:$AN$84,MATCH(ΥΠΟΛΟΓΙΣΜΟΙ!BK21,pin!$V$48:$V$84,0),MATCH(ΥΠΟΛΟΓΙΣΜΟΙ!AW21,pin!$X$47:$AN$47,0))-INDEX(pin!$X$48:$AN$84,MATCH(ΥΠΟΛΟΓΙΣΜΟΙ!BL21,pin!$V$48:$V$84,0),MATCH(ΥΠΟΛΟΓΙΣΜΟΙ!AW21,pin!$X$47:$AN$47,0)))</f>
        <v>1</v>
      </c>
      <c r="BN21" s="225">
        <f>INDEX(pin!$X$48:$AN$84,MATCH(ΥΠΟΛΟΓΙΣΜΟΙ!BK21,pin!$V$48:$V$84,0),MATCH(ΥΠΟΛΟΓΙΣΜΟΙ!AX21,pin!$X$47:$AN$47,0))+0.4*(BK21-AG21)*(INDEX(pin!$X$48:$AN$84,MATCH(ΥΠΟΛΟΓΙΣΜΟΙ!BK21,pin!$V$48:$V$84,0),MATCH(ΥΠΟΛΟΓΙΣΜΟΙ!AX21,pin!$X$47:$AN$47,0))-INDEX(pin!$X$48:$AN$84,MATCH(ΥΠΟΛΟΓΙΣΜΟΙ!BL21,pin!$V$48:$V$84,0),MATCH(ΥΠΟΛΟΓΙΣΜΟΙ!AX21,pin!$X$47:$AN$47,0)))</f>
        <v>1</v>
      </c>
      <c r="BO21" s="209">
        <f t="shared" si="26"/>
        <v>0</v>
      </c>
      <c r="BP21" s="210">
        <f t="shared" si="27"/>
        <v>0</v>
      </c>
      <c r="BQ21" s="210">
        <f>INDEX(pin!$D$114:$T$132,MATCH(ΥΠΟΛΟΓΙΣΜΟΙ!BO21,pin!$B$114:$B$132,0),MATCH(ΥΠΟΛΟΓΙΣΜΟΙ!AW21,pin!$D$113:$T$113,0))+0.2*(BO21-AH21)*(INDEX(pin!$D$114:$T$132,MATCH(ΥΠΟΛΟΓΙΣΜΟΙ!BO21,pin!$B$114:$B$132,0),MATCH(ΥΠΟΛΟΓΙΣΜΟΙ!AW21,pin!$D$113:$T$113,0))-INDEX(pin!$D$114:$T$132,MATCH(ΥΠΟΛΟΓΙΣΜΟΙ!BP21,pin!$B$114:$B$132,0),MATCH(ΥΠΟΛΟΓΙΣΜΟΙ!AW21,pin!$D$113:$T$113,0)))</f>
        <v>1</v>
      </c>
      <c r="BR21" s="210">
        <f>INDEX(pin!$D$114:$T$132,MATCH(ΥΠΟΛΟΓΙΣΜΟΙ!BO21,pin!$B$114:$B$132,0),MATCH(ΥΠΟΛΟΓΙΣΜΟΙ!AX21,pin!$D$113:$T$113,0))+0.2*(BO21-AH21)*(INDEX(pin!$D$114:$T$132,MATCH(ΥΠΟΛΟΓΙΣΜΟΙ!BO21,pin!$B$114:$B$132,0),MATCH(ΥΠΟΛΟΓΙΣΜΟΙ!AX21,pin!$D$113:$T$113,0))-INDEX(pin!$D$114:$T$132,MATCH(ΥΠΟΛΟΓΙΣΜΟΙ!BP21,pin!$B$114:$B$132,0),MATCH(ΥΠΟΛΟΓΙΣΜΟΙ!AX21,pin!$D$113:$T$113,0)))</f>
        <v>1</v>
      </c>
      <c r="BS21" s="209">
        <f>INDEX(pin!$X$114:$AN$132,MATCH(ΥΠΟΛΟΓΙΣΜΟΙ!BO21,pin!$V$114:$V$132,0),MATCH(ΥΠΟΛΟΓΙΣΜΟΙ!AW21,pin!$X$113:$AN$113,0))+0.2*(BO21-AH21)*(INDEX(pin!$X$114:$AN$132,MATCH(ΥΠΟΛΟΓΙΣΜΟΙ!BO21,pin!$V$114:$V$132,0),MATCH(ΥΠΟΛΟΓΙΣΜΟΙ!AW21,pin!$X$113:$AN$113,0))-INDEX(pin!$X$114:$AN$132,MATCH(ΥΠΟΛΟΓΙΣΜΟΙ!BP21,pin!$V$114:$V$132,0),MATCH(ΥΠΟΛΟΓΙΣΜΟΙ!AW21,pin!$X$113:$AN$113,0)))</f>
        <v>1</v>
      </c>
      <c r="BT21" s="225">
        <f>INDEX(pin!$X$114:$AN$132,MATCH(ΥΠΟΛΟΓΙΣΜΟΙ!BO21,pin!$V$114:$V$132,0),MATCH(ΥΠΟΛΟΓΙΣΜΟΙ!AX21,pin!$X$113:$AN$113,0))+0.2*(BO21-AH21)*(INDEX(pin!$X$114:$AN$132,MATCH(ΥΠΟΛΟΓΙΣΜΟΙ!BO21,pin!$V$114:$V$132,0),MATCH(ΥΠΟΛΟΓΙΣΜΟΙ!AX21,pin!$X$113:$AN$113,0))-INDEX(pin!$X$114:$AN$132,MATCH(ΥΠΟΛΟΓΙΣΜΟΙ!BP21,pin!$V$114:$V$132,0),MATCH(ΥΠΟΛΟΓΙΣΜΟΙ!AX21,pin!$X$113:$AN$113,0)))</f>
        <v>1</v>
      </c>
      <c r="BU21" s="209">
        <f t="shared" si="28"/>
        <v>0</v>
      </c>
      <c r="BV21" s="210">
        <f t="shared" si="29"/>
        <v>0</v>
      </c>
      <c r="BW21" s="210">
        <f>INDEX(pin!$D$90:$T$108,MATCH(ΥΠΟΛΟΓΙΣΜΟΙ!BU21,pin!$B$90:$B$108,0),MATCH(ΥΠΟΛΟΓΙΣΜΟΙ!AW21,pin!$D$89:$T$89,0))+0.2*(BU21-AI21)*(INDEX(pin!$D$90:$T$108,MATCH(ΥΠΟΛΟΓΙΣΜΟΙ!BU21,pin!$B$90:$B$108,0),MATCH(ΥΠΟΛΟΓΙΣΜΟΙ!AW21,pin!$D$89:$T$89,0))-INDEX(pin!$D$90:$T$108,MATCH(ΥΠΟΛΟΓΙΣΜΟΙ!BV21,pin!$B$90:$B$108,0),MATCH(ΥΠΟΛΟΓΙΣΜΟΙ!AW21,pin!$D$89:$T$89,0)))</f>
        <v>1</v>
      </c>
      <c r="BX21" s="225">
        <f>INDEX(pin!$D$90:$T$108,MATCH(ΥΠΟΛΟΓΙΣΜΟΙ!BU21,pin!$B$90:$B$108,0),MATCH(ΥΠΟΛΟΓΙΣΜΟΙ!AX21,pin!$D$89:$T$89,0))+0.2*(BU21-AI21)*(INDEX(pin!$D$90:$T$108,MATCH(ΥΠΟΛΟΓΙΣΜΟΙ!BU21,pin!$B$90:$B$108,0),MATCH(ΥΠΟΛΟΓΙΣΜΟΙ!AX21,pin!$D$89:$T$89,0))-INDEX(pin!$D$90:$T$108,MATCH(ΥΠΟΛΟΓΙΣΜΟΙ!BV21,pin!$B$90:$B$108,0),MATCH(ΥΠΟΛΟΓΙΣΜΟΙ!AX21,pin!$D$89:$T$89,0)))</f>
        <v>1</v>
      </c>
      <c r="BY21" s="210">
        <f>INDEX(pin!$X$90:$AN$108,MATCH(ΥΠΟΛΟΓΙΣΜΟΙ!BU21,pin!$V$90:$V$108,0),MATCH(ΥΠΟΛΟΓΙΣΜΟΙ!AW21,pin!$X$89:$AN$89,0))+0.2*(BU21-AI21)*(INDEX(pin!$X$90:$AN$108,MATCH(ΥΠΟΛΟΓΙΣΜΟΙ!BU21,pin!$V$90:$V$108,0),MATCH(ΥΠΟΛΟΓΙΣΜΟΙ!AW21,pin!$X$89:$AN$89,0))-INDEX(pin!$X$90:$AN$108,MATCH(ΥΠΟΛΟΓΙΣΜΟΙ!BV21,pin!$V$90:$V$108,0),MATCH(ΥΠΟΛΟΓΙΣΜΟΙ!AW21,pin!$X$89:$AN$89,0)))</f>
        <v>1</v>
      </c>
      <c r="BZ21" s="225">
        <f>INDEX(pin!$X$90:$AN$108,MATCH(ΥΠΟΛΟΓΙΣΜΟΙ!BU21,pin!$V$90:$V$108,0),MATCH(ΥΠΟΛΟΓΙΣΜΟΙ!AX21,pin!$X$89:$AN$89,0))+0.2*(BU21-AI21)*(INDEX(pin!$X$90:$AN$108,MATCH(ΥΠΟΛΟΓΙΣΜΟΙ!BU21,pin!$V$90:$V$108,0),MATCH(ΥΠΟΛΟΓΙΣΜΟΙ!AX21,pin!$X$89:$AN$89,0))-INDEX(pin!$X$90:$AN$108,MATCH(ΥΠΟΛΟΓΙΣΜΟΙ!BV21,pin!$V$90:$V$108,0),MATCH(ΥΠΟΛΟΓΙΣΜΟΙ!AX21,pin!$X$89:$AN$89,0)))</f>
        <v>1</v>
      </c>
      <c r="CA21" s="213"/>
      <c r="DF21" s="261"/>
      <c r="DI21" s="261"/>
    </row>
    <row r="22" spans="1:113">
      <c r="A22" s="56">
        <v>5</v>
      </c>
      <c r="B22" s="128"/>
      <c r="C22" s="126"/>
      <c r="D22" s="126"/>
      <c r="E22" s="47" t="str">
        <f t="shared" si="1"/>
        <v>-</v>
      </c>
      <c r="F22" s="126"/>
      <c r="G22" s="269" t="str">
        <f t="shared" si="2"/>
        <v>-</v>
      </c>
      <c r="H22" s="270"/>
      <c r="I22" s="126"/>
      <c r="J22" s="126"/>
      <c r="K22" s="265" t="str">
        <f t="shared" si="3"/>
        <v>-</v>
      </c>
      <c r="L22" s="264"/>
      <c r="M22" s="129"/>
      <c r="N22" s="200" t="str">
        <f>IF(L22="","-",IFERROR(IF(C22&lt;0,"-",INDEX(pin!$AR$6:$AR$22,MATCH(MROUND(ΥΠΟΛΟΓΙΣΜΟΙ!L22,22.5),pin!$AQ$6:$AQ$22))),"-"))</f>
        <v>-</v>
      </c>
      <c r="O22" s="46">
        <f t="shared" si="4"/>
        <v>1</v>
      </c>
      <c r="P22" s="130">
        <f t="shared" si="30"/>
        <v>1</v>
      </c>
      <c r="Q22" s="46">
        <f t="shared" si="5"/>
        <v>1</v>
      </c>
      <c r="R22" s="130">
        <f t="shared" si="6"/>
        <v>1</v>
      </c>
      <c r="S22" s="46">
        <f t="shared" si="7"/>
        <v>1</v>
      </c>
      <c r="T22" s="130">
        <f t="shared" si="8"/>
        <v>1</v>
      </c>
      <c r="U22" s="131"/>
      <c r="V22" s="132"/>
      <c r="W22" s="126"/>
      <c r="X22" s="127"/>
      <c r="Y22" s="182"/>
      <c r="Z22" s="132"/>
      <c r="AA22" s="126"/>
      <c r="AB22" s="126"/>
      <c r="AC22" s="131"/>
      <c r="AD22" s="127"/>
      <c r="AE22" s="226">
        <f t="shared" si="0"/>
        <v>0</v>
      </c>
      <c r="AF22" s="202">
        <f t="shared" si="9"/>
        <v>0</v>
      </c>
      <c r="AG22" s="202">
        <f t="shared" si="10"/>
        <v>0</v>
      </c>
      <c r="AH22" s="202">
        <f t="shared" si="11"/>
        <v>0</v>
      </c>
      <c r="AI22" s="202">
        <f t="shared" si="12"/>
        <v>0</v>
      </c>
      <c r="AJ22" s="203">
        <f t="shared" si="13"/>
        <v>1</v>
      </c>
      <c r="AK22" s="203">
        <f t="shared" si="14"/>
        <v>1</v>
      </c>
      <c r="AL22" s="203">
        <f t="shared" si="15"/>
        <v>1</v>
      </c>
      <c r="AM22" s="203">
        <f t="shared" si="16"/>
        <v>1</v>
      </c>
      <c r="AN22" s="209">
        <f t="shared" si="17"/>
        <v>0</v>
      </c>
      <c r="AO22" s="210"/>
      <c r="AP22" s="210"/>
      <c r="AQ22" s="210"/>
      <c r="AR22" s="210"/>
      <c r="AS22" s="210"/>
      <c r="AT22" s="210"/>
      <c r="AU22" s="210"/>
      <c r="AV22" s="210" t="s">
        <v>268</v>
      </c>
      <c r="AW22" s="210">
        <f t="shared" si="18"/>
        <v>0</v>
      </c>
      <c r="AX22" s="225">
        <f t="shared" si="19"/>
        <v>0</v>
      </c>
      <c r="AY22" s="209">
        <f t="shared" si="20"/>
        <v>0</v>
      </c>
      <c r="AZ22" s="210">
        <f t="shared" si="21"/>
        <v>0</v>
      </c>
      <c r="BA22" s="210">
        <f>INDEX(pin!$D$6:$T$42,MATCH(ΥΠΟΛΟΓΙΣΜΟΙ!AY22,pin!$B$6:$B$42,0),MATCH(ΥΠΟΛΟΓΙΣΜΟΙ!AW22,pin!$D$5:$T$5,0))+0.4*(AY22-AE22)*(INDEX(pin!$D$6:$T$42,MATCH(ΥΠΟΛΟΓΙΣΜΟΙ!AY22,pin!$B$6:$B$42,0),MATCH(ΥΠΟΛΟΓΙΣΜΟΙ!AW22,pin!$D$5:$T$5,0))-INDEX(pin!$D$6:$T$42,MATCH(ΥΠΟΛΟΓΙΣΜΟΙ!AZ22,pin!$B$6:$B$42,0),MATCH(ΥΠΟΛΟΓΙΣΜΟΙ!AW22,pin!$D$5:$T$5,0)))</f>
        <v>1</v>
      </c>
      <c r="BB22" s="225">
        <f>INDEX(pin!$D$6:$T$42,MATCH(ΥΠΟΛΟΓΙΣΜΟΙ!AY22,pin!$B$6:$B$42,0),MATCH(ΥΠΟΛΟΓΙΣΜΟΙ!AX22,pin!$D$5:$T$5,0))+0.4*(AY22-AE22)*(INDEX(pin!$D$6:$T$42,MATCH(ΥΠΟΛΟΓΙΣΜΟΙ!AY22,pin!$B$6:$B$42,0),MATCH(ΥΠΟΛΟΓΙΣΜΟΙ!AX22,pin!$D$5:$T$5,0))-INDEX(pin!$D$6:$T$42,MATCH(ΥΠΟΛΟΓΙΣΜΟΙ!AZ22,pin!$B$6:$B$42,0),MATCH(ΥΠΟΛΟΓΙΣΜΟΙ!AX22,pin!$D$5:$T$5,0)))</f>
        <v>1</v>
      </c>
      <c r="BC22" s="210">
        <f>INDEX(pin!$X$6:$AN$42,MATCH(ΥΠΟΛΟΓΙΣΜΟΙ!AY22,pin!$V$6:$V$42,0),MATCH(ΥΠΟΛΟΓΙΣΜΟΙ!AW22,pin!$X$5:$AN$5,0))+0.4*(AY22-AE22)*(INDEX(pin!$X$6:$AN$42,MATCH(ΥΠΟΛΟΓΙΣΜΟΙ!AY22,pin!$V$6:$V$42,0),MATCH(ΥΠΟΛΟΓΙΣΜΟΙ!AW22,pin!$X$5:$AN$5,0))-INDEX(pin!$X$6:$AN$42,MATCH(ΥΠΟΛΟΓΙΣΜΟΙ!AZ22,pin!$V$6:$V$42,0),MATCH(ΥΠΟΛΟΓΙΣΜΟΙ!AW22,pin!$X$5:$AN$5,0)))</f>
        <v>1</v>
      </c>
      <c r="BD22" s="210">
        <f>INDEX(pin!$X$6:$AN$42,MATCH(ΥΠΟΛΟΓΙΣΜΟΙ!AY22,pin!$V$6:$V$42,0),MATCH(ΥΠΟΛΟΓΙΣΜΟΙ!AX22,pin!$X$5:$AN$5,0))+0.4*(AY22-AE22)*(INDEX(pin!$X$6:$AN$42,MATCH(ΥΠΟΛΟΓΙΣΜΟΙ!AY22,pin!$V$6:$V$42,0),MATCH(ΥΠΟΛΟΓΙΣΜΟΙ!AX22,pin!$X$5:$AN$5,0))-INDEX(pin!$X$6:$AN$42,MATCH(ΥΠΟΛΟΓΙΣΜΟΙ!AZ22,pin!$V$6:$V$42,0),MATCH(ΥΠΟΛΟΓΙΣΜΟΙ!AX22,pin!$X$5:$AN$5,0)))</f>
        <v>1</v>
      </c>
      <c r="BE22" s="209">
        <f t="shared" si="22"/>
        <v>0</v>
      </c>
      <c r="BF22" s="210">
        <f t="shared" si="23"/>
        <v>0</v>
      </c>
      <c r="BG22" s="210">
        <f>INDEX(pin!$D$48:$T$84,MATCH(ΥΠΟΛΟΓΙΣΜΟΙ!BE22,pin!$B$48:$B$84,0),MATCH(ΥΠΟΛΟΓΙΣΜΟΙ!AW22,pin!$D$47:$T$47,0))+0.4*(BE22-AF22)*(INDEX(pin!$D$48:$T$84,MATCH(ΥΠΟΛΟΓΙΣΜΟΙ!BE22,pin!$B$48:$B$84,0),MATCH(ΥΠΟΛΟΓΙΣΜΟΙ!AW22,pin!$D$47:$T$47,0))-INDEX(pin!$D$48:$T$84,MATCH(ΥΠΟΛΟΓΙΣΜΟΙ!BF22,pin!$B$48:$B$84,0),MATCH(ΥΠΟΛΟΓΙΣΜΟΙ!AW22,pin!$D$47:$T$47,0)))</f>
        <v>1</v>
      </c>
      <c r="BH22" s="210">
        <f>INDEX(pin!$D$48:$T$84,MATCH(ΥΠΟΛΟΓΙΣΜΟΙ!BE22,pin!$B$48:$B$84,0),MATCH(ΥΠΟΛΟΓΙΣΜΟΙ!AX22,pin!$D$47:$T$47,0))+0.4*(BE22-AF22)*(INDEX(pin!$D$48:$T$84,MATCH(ΥΠΟΛΟΓΙΣΜΟΙ!BE22,pin!$B$48:$B$84,0),MATCH(ΥΠΟΛΟΓΙΣΜΟΙ!AX22,pin!$D$47:$T$47,0))-INDEX(pin!$D$48:$T$84,MATCH(ΥΠΟΛΟΓΙΣΜΟΙ!BF22,pin!$B$48:$B$84,0),MATCH(ΥΠΟΛΟΓΙΣΜΟΙ!AX22,pin!$D$47:$T$47,0)))</f>
        <v>1</v>
      </c>
      <c r="BI22" s="209">
        <f>INDEX(pin!$X$48:$AN$84,MATCH(ΥΠΟΛΟΓΙΣΜΟΙ!BE22,pin!$V$48:$V$84,0),MATCH(ΥΠΟΛΟΓΙΣΜΟΙ!AW22,pin!$X$47:$AN$47,0))+0.4*(BE22-AF22)*(INDEX(pin!$X$48:$AN$84,MATCH(ΥΠΟΛΟΓΙΣΜΟΙ!BE22,pin!$V$48:$V$84,0),MATCH(ΥΠΟΛΟΓΙΣΜΟΙ!AW22,pin!$X$47:$AN$47,0))-INDEX(pin!$X$48:$AN$84,MATCH(ΥΠΟΛΟΓΙΣΜΟΙ!BF22,pin!$V$48:$V$84,0),MATCH(ΥΠΟΛΟΓΙΣΜΟΙ!AW22,pin!$X$47:$AN$47,0)))</f>
        <v>1</v>
      </c>
      <c r="BJ22" s="225">
        <f>INDEX(pin!$X$48:$AN$84,MATCH(ΥΠΟΛΟΓΙΣΜΟΙ!BE22,pin!$V$48:$V$84,0),MATCH(ΥΠΟΛΟΓΙΣΜΟΙ!AX22,pin!$X$47:$AN$47,0))+0.4*(BE22-AF22)*(INDEX(pin!$X$48:$AN$84,MATCH(ΥΠΟΛΟΓΙΣΜΟΙ!BE22,pin!$V$48:$V$84,0),MATCH(ΥΠΟΛΟΓΙΣΜΟΙ!AX22,pin!$X$47:$AN$47,0))-INDEX(pin!$X$48:$AN$84,MATCH(ΥΠΟΛΟΓΙΣΜΟΙ!BF22,pin!$V$48:$V$84,0),MATCH(ΥΠΟΛΟΓΙΣΜΟΙ!AX22,pin!$X$47:$AN$47,0)))</f>
        <v>1</v>
      </c>
      <c r="BK22" s="209">
        <f t="shared" si="24"/>
        <v>0</v>
      </c>
      <c r="BL22" s="210">
        <f t="shared" si="25"/>
        <v>0</v>
      </c>
      <c r="BM22" s="210">
        <f>INDEX(pin!$X$48:$AN$84,MATCH(ΥΠΟΛΟΓΙΣΜΟΙ!BK22,pin!$V$48:$V$84,0),MATCH(ΥΠΟΛΟΓΙΣΜΟΙ!AW22,pin!$X$47:$AN$47,0))+0.4*(BK22-AG22)*(INDEX(pin!$X$48:$AN$84,MATCH(ΥΠΟΛΟΓΙΣΜΟΙ!BK22,pin!$V$48:$V$84,0),MATCH(ΥΠΟΛΟΓΙΣΜΟΙ!AW22,pin!$X$47:$AN$47,0))-INDEX(pin!$X$48:$AN$84,MATCH(ΥΠΟΛΟΓΙΣΜΟΙ!BL22,pin!$V$48:$V$84,0),MATCH(ΥΠΟΛΟΓΙΣΜΟΙ!AW22,pin!$X$47:$AN$47,0)))</f>
        <v>1</v>
      </c>
      <c r="BN22" s="225">
        <f>INDEX(pin!$X$48:$AN$84,MATCH(ΥΠΟΛΟΓΙΣΜΟΙ!BK22,pin!$V$48:$V$84,0),MATCH(ΥΠΟΛΟΓΙΣΜΟΙ!AX22,pin!$X$47:$AN$47,0))+0.4*(BK22-AG22)*(INDEX(pin!$X$48:$AN$84,MATCH(ΥΠΟΛΟΓΙΣΜΟΙ!BK22,pin!$V$48:$V$84,0),MATCH(ΥΠΟΛΟΓΙΣΜΟΙ!AX22,pin!$X$47:$AN$47,0))-INDEX(pin!$X$48:$AN$84,MATCH(ΥΠΟΛΟΓΙΣΜΟΙ!BL22,pin!$V$48:$V$84,0),MATCH(ΥΠΟΛΟΓΙΣΜΟΙ!AX22,pin!$X$47:$AN$47,0)))</f>
        <v>1</v>
      </c>
      <c r="BO22" s="209">
        <f t="shared" si="26"/>
        <v>0</v>
      </c>
      <c r="BP22" s="210">
        <f t="shared" si="27"/>
        <v>0</v>
      </c>
      <c r="BQ22" s="210">
        <f>INDEX(pin!$D$114:$T$132,MATCH(ΥΠΟΛΟΓΙΣΜΟΙ!BO22,pin!$B$114:$B$132,0),MATCH(ΥΠΟΛΟΓΙΣΜΟΙ!AW22,pin!$D$113:$T$113,0))+0.2*(BO22-AH22)*(INDEX(pin!$D$114:$T$132,MATCH(ΥΠΟΛΟΓΙΣΜΟΙ!BO22,pin!$B$114:$B$132,0),MATCH(ΥΠΟΛΟΓΙΣΜΟΙ!AW22,pin!$D$113:$T$113,0))-INDEX(pin!$D$114:$T$132,MATCH(ΥΠΟΛΟΓΙΣΜΟΙ!BP22,pin!$B$114:$B$132,0),MATCH(ΥΠΟΛΟΓΙΣΜΟΙ!AW22,pin!$D$113:$T$113,0)))</f>
        <v>1</v>
      </c>
      <c r="BR22" s="210">
        <f>INDEX(pin!$D$114:$T$132,MATCH(ΥΠΟΛΟΓΙΣΜΟΙ!BO22,pin!$B$114:$B$132,0),MATCH(ΥΠΟΛΟΓΙΣΜΟΙ!AX22,pin!$D$113:$T$113,0))+0.2*(BO22-AH22)*(INDEX(pin!$D$114:$T$132,MATCH(ΥΠΟΛΟΓΙΣΜΟΙ!BO22,pin!$B$114:$B$132,0),MATCH(ΥΠΟΛΟΓΙΣΜΟΙ!AX22,pin!$D$113:$T$113,0))-INDEX(pin!$D$114:$T$132,MATCH(ΥΠΟΛΟΓΙΣΜΟΙ!BP22,pin!$B$114:$B$132,0),MATCH(ΥΠΟΛΟΓΙΣΜΟΙ!AX22,pin!$D$113:$T$113,0)))</f>
        <v>1</v>
      </c>
      <c r="BS22" s="209">
        <f>INDEX(pin!$X$114:$AN$132,MATCH(ΥΠΟΛΟΓΙΣΜΟΙ!BO22,pin!$V$114:$V$132,0),MATCH(ΥΠΟΛΟΓΙΣΜΟΙ!AW22,pin!$X$113:$AN$113,0))+0.2*(BO22-AH22)*(INDEX(pin!$X$114:$AN$132,MATCH(ΥΠΟΛΟΓΙΣΜΟΙ!BO22,pin!$V$114:$V$132,0),MATCH(ΥΠΟΛΟΓΙΣΜΟΙ!AW22,pin!$X$113:$AN$113,0))-INDEX(pin!$X$114:$AN$132,MATCH(ΥΠΟΛΟΓΙΣΜΟΙ!BP22,pin!$V$114:$V$132,0),MATCH(ΥΠΟΛΟΓΙΣΜΟΙ!AW22,pin!$X$113:$AN$113,0)))</f>
        <v>1</v>
      </c>
      <c r="BT22" s="225">
        <f>INDEX(pin!$X$114:$AN$132,MATCH(ΥΠΟΛΟΓΙΣΜΟΙ!BO22,pin!$V$114:$V$132,0),MATCH(ΥΠΟΛΟΓΙΣΜΟΙ!AX22,pin!$X$113:$AN$113,0))+0.2*(BO22-AH22)*(INDEX(pin!$X$114:$AN$132,MATCH(ΥΠΟΛΟΓΙΣΜΟΙ!BO22,pin!$V$114:$V$132,0),MATCH(ΥΠΟΛΟΓΙΣΜΟΙ!AX22,pin!$X$113:$AN$113,0))-INDEX(pin!$X$114:$AN$132,MATCH(ΥΠΟΛΟΓΙΣΜΟΙ!BP22,pin!$V$114:$V$132,0),MATCH(ΥΠΟΛΟΓΙΣΜΟΙ!AX22,pin!$X$113:$AN$113,0)))</f>
        <v>1</v>
      </c>
      <c r="BU22" s="209">
        <f t="shared" si="28"/>
        <v>0</v>
      </c>
      <c r="BV22" s="210">
        <f t="shared" si="29"/>
        <v>0</v>
      </c>
      <c r="BW22" s="210">
        <f>INDEX(pin!$D$90:$T$108,MATCH(ΥΠΟΛΟΓΙΣΜΟΙ!BU22,pin!$B$90:$B$108,0),MATCH(ΥΠΟΛΟΓΙΣΜΟΙ!AW22,pin!$D$89:$T$89,0))+0.2*(BU22-AI22)*(INDEX(pin!$D$90:$T$108,MATCH(ΥΠΟΛΟΓΙΣΜΟΙ!BU22,pin!$B$90:$B$108,0),MATCH(ΥΠΟΛΟΓΙΣΜΟΙ!AW22,pin!$D$89:$T$89,0))-INDEX(pin!$D$90:$T$108,MATCH(ΥΠΟΛΟΓΙΣΜΟΙ!BV22,pin!$B$90:$B$108,0),MATCH(ΥΠΟΛΟΓΙΣΜΟΙ!AW22,pin!$D$89:$T$89,0)))</f>
        <v>1</v>
      </c>
      <c r="BX22" s="225">
        <f>INDEX(pin!$D$90:$T$108,MATCH(ΥΠΟΛΟΓΙΣΜΟΙ!BU22,pin!$B$90:$B$108,0),MATCH(ΥΠΟΛΟΓΙΣΜΟΙ!AX22,pin!$D$89:$T$89,0))+0.2*(BU22-AI22)*(INDEX(pin!$D$90:$T$108,MATCH(ΥΠΟΛΟΓΙΣΜΟΙ!BU22,pin!$B$90:$B$108,0),MATCH(ΥΠΟΛΟΓΙΣΜΟΙ!AX22,pin!$D$89:$T$89,0))-INDEX(pin!$D$90:$T$108,MATCH(ΥΠΟΛΟΓΙΣΜΟΙ!BV22,pin!$B$90:$B$108,0),MATCH(ΥΠΟΛΟΓΙΣΜΟΙ!AX22,pin!$D$89:$T$89,0)))</f>
        <v>1</v>
      </c>
      <c r="BY22" s="210">
        <f>INDEX(pin!$X$90:$AN$108,MATCH(ΥΠΟΛΟΓΙΣΜΟΙ!BU22,pin!$V$90:$V$108,0),MATCH(ΥΠΟΛΟΓΙΣΜΟΙ!AW22,pin!$X$89:$AN$89,0))+0.2*(BU22-AI22)*(INDEX(pin!$X$90:$AN$108,MATCH(ΥΠΟΛΟΓΙΣΜΟΙ!BU22,pin!$V$90:$V$108,0),MATCH(ΥΠΟΛΟΓΙΣΜΟΙ!AW22,pin!$X$89:$AN$89,0))-INDEX(pin!$X$90:$AN$108,MATCH(ΥΠΟΛΟΓΙΣΜΟΙ!BV22,pin!$V$90:$V$108,0),MATCH(ΥΠΟΛΟΓΙΣΜΟΙ!AW22,pin!$X$89:$AN$89,0)))</f>
        <v>1</v>
      </c>
      <c r="BZ22" s="225">
        <f>INDEX(pin!$X$90:$AN$108,MATCH(ΥΠΟΛΟΓΙΣΜΟΙ!BU22,pin!$V$90:$V$108,0),MATCH(ΥΠΟΛΟΓΙΣΜΟΙ!AX22,pin!$X$89:$AN$89,0))+0.2*(BU22-AI22)*(INDEX(pin!$X$90:$AN$108,MATCH(ΥΠΟΛΟΓΙΣΜΟΙ!BU22,pin!$V$90:$V$108,0),MATCH(ΥΠΟΛΟΓΙΣΜΟΙ!AX22,pin!$X$89:$AN$89,0))-INDEX(pin!$X$90:$AN$108,MATCH(ΥΠΟΛΟΓΙΣΜΟΙ!BV22,pin!$V$90:$V$108,0),MATCH(ΥΠΟΛΟΓΙΣΜΟΙ!AX22,pin!$X$89:$AN$89,0)))</f>
        <v>1</v>
      </c>
      <c r="CA22" s="213"/>
      <c r="DF22" s="261"/>
      <c r="DI22" s="262"/>
    </row>
    <row r="23" spans="1:113">
      <c r="A23" s="56">
        <v>6</v>
      </c>
      <c r="B23" s="305"/>
      <c r="C23" s="126"/>
      <c r="D23" s="127"/>
      <c r="E23" s="47" t="str">
        <f t="shared" si="1"/>
        <v>-</v>
      </c>
      <c r="F23" s="126"/>
      <c r="G23" s="269" t="str">
        <f t="shared" si="2"/>
        <v>-</v>
      </c>
      <c r="H23" s="270"/>
      <c r="I23" s="126"/>
      <c r="J23" s="126"/>
      <c r="K23" s="265" t="str">
        <f t="shared" si="3"/>
        <v>-</v>
      </c>
      <c r="L23" s="264"/>
      <c r="M23" s="129"/>
      <c r="N23" s="200" t="str">
        <f>IF(L23="","-",IFERROR(IF(C23&lt;0,"-",INDEX(pin!$AR$6:$AR$22,MATCH(MROUND(ΥΠΟΛΟΓΙΣΜΟΙ!L23,22.5),pin!$AQ$6:$AQ$22))),"-"))</f>
        <v>-</v>
      </c>
      <c r="O23" s="46">
        <f t="shared" si="4"/>
        <v>1</v>
      </c>
      <c r="P23" s="130">
        <f t="shared" si="30"/>
        <v>1</v>
      </c>
      <c r="Q23" s="46">
        <f t="shared" si="5"/>
        <v>1</v>
      </c>
      <c r="R23" s="130">
        <f t="shared" si="6"/>
        <v>1</v>
      </c>
      <c r="S23" s="46">
        <f t="shared" si="7"/>
        <v>1</v>
      </c>
      <c r="T23" s="130">
        <f t="shared" si="8"/>
        <v>1</v>
      </c>
      <c r="U23" s="131"/>
      <c r="V23" s="132"/>
      <c r="W23" s="126"/>
      <c r="X23" s="184"/>
      <c r="Y23" s="182"/>
      <c r="Z23" s="132"/>
      <c r="AA23" s="126"/>
      <c r="AB23" s="126"/>
      <c r="AC23" s="131"/>
      <c r="AD23" s="127"/>
      <c r="AE23" s="226">
        <f t="shared" si="0"/>
        <v>0</v>
      </c>
      <c r="AF23" s="202">
        <f t="shared" si="9"/>
        <v>0</v>
      </c>
      <c r="AG23" s="202">
        <f t="shared" si="10"/>
        <v>0</v>
      </c>
      <c r="AH23" s="202">
        <f t="shared" si="11"/>
        <v>0</v>
      </c>
      <c r="AI23" s="202">
        <f t="shared" si="12"/>
        <v>0</v>
      </c>
      <c r="AJ23" s="203">
        <f t="shared" si="13"/>
        <v>1</v>
      </c>
      <c r="AK23" s="203">
        <f t="shared" si="14"/>
        <v>1</v>
      </c>
      <c r="AL23" s="203">
        <f t="shared" si="15"/>
        <v>1</v>
      </c>
      <c r="AM23" s="203">
        <f t="shared" si="16"/>
        <v>1</v>
      </c>
      <c r="AN23" s="209">
        <f t="shared" si="17"/>
        <v>0</v>
      </c>
      <c r="AO23" s="210"/>
      <c r="AP23" s="210"/>
      <c r="AQ23" s="210"/>
      <c r="AR23" s="210"/>
      <c r="AS23" s="210"/>
      <c r="AT23" s="210"/>
      <c r="AU23" s="210"/>
      <c r="AV23" s="210" t="s">
        <v>268</v>
      </c>
      <c r="AW23" s="210">
        <f t="shared" si="18"/>
        <v>0</v>
      </c>
      <c r="AX23" s="225">
        <f t="shared" si="19"/>
        <v>0</v>
      </c>
      <c r="AY23" s="209">
        <f t="shared" si="20"/>
        <v>0</v>
      </c>
      <c r="AZ23" s="210">
        <f t="shared" si="21"/>
        <v>0</v>
      </c>
      <c r="BA23" s="210">
        <f>INDEX(pin!$D$6:$T$42,MATCH(ΥΠΟΛΟΓΙΣΜΟΙ!AY23,pin!$B$6:$B$42,0),MATCH(ΥΠΟΛΟΓΙΣΜΟΙ!AW23,pin!$D$5:$T$5,0))+0.4*(AY23-AE23)*(INDEX(pin!$D$6:$T$42,MATCH(ΥΠΟΛΟΓΙΣΜΟΙ!AY23,pin!$B$6:$B$42,0),MATCH(ΥΠΟΛΟΓΙΣΜΟΙ!AW23,pin!$D$5:$T$5,0))-INDEX(pin!$D$6:$T$42,MATCH(ΥΠΟΛΟΓΙΣΜΟΙ!AZ23,pin!$B$6:$B$42,0),MATCH(ΥΠΟΛΟΓΙΣΜΟΙ!AW23,pin!$D$5:$T$5,0)))</f>
        <v>1</v>
      </c>
      <c r="BB23" s="225">
        <f>INDEX(pin!$D$6:$T$42,MATCH(ΥΠΟΛΟΓΙΣΜΟΙ!AY23,pin!$B$6:$B$42,0),MATCH(ΥΠΟΛΟΓΙΣΜΟΙ!AX23,pin!$D$5:$T$5,0))+0.4*(AY23-AE23)*(INDEX(pin!$D$6:$T$42,MATCH(ΥΠΟΛΟΓΙΣΜΟΙ!AY23,pin!$B$6:$B$42,0),MATCH(ΥΠΟΛΟΓΙΣΜΟΙ!AX23,pin!$D$5:$T$5,0))-INDEX(pin!$D$6:$T$42,MATCH(ΥΠΟΛΟΓΙΣΜΟΙ!AZ23,pin!$B$6:$B$42,0),MATCH(ΥΠΟΛΟΓΙΣΜΟΙ!AX23,pin!$D$5:$T$5,0)))</f>
        <v>1</v>
      </c>
      <c r="BC23" s="210">
        <f>INDEX(pin!$X$6:$AN$42,MATCH(ΥΠΟΛΟΓΙΣΜΟΙ!AY23,pin!$V$6:$V$42,0),MATCH(ΥΠΟΛΟΓΙΣΜΟΙ!AW23,pin!$X$5:$AN$5,0))+0.4*(AY23-AE23)*(INDEX(pin!$X$6:$AN$42,MATCH(ΥΠΟΛΟΓΙΣΜΟΙ!AY23,pin!$V$6:$V$42,0),MATCH(ΥΠΟΛΟΓΙΣΜΟΙ!AW23,pin!$X$5:$AN$5,0))-INDEX(pin!$X$6:$AN$42,MATCH(ΥΠΟΛΟΓΙΣΜΟΙ!AZ23,pin!$V$6:$V$42,0),MATCH(ΥΠΟΛΟΓΙΣΜΟΙ!AW23,pin!$X$5:$AN$5,0)))</f>
        <v>1</v>
      </c>
      <c r="BD23" s="210">
        <f>INDEX(pin!$X$6:$AN$42,MATCH(ΥΠΟΛΟΓΙΣΜΟΙ!AY23,pin!$V$6:$V$42,0),MATCH(ΥΠΟΛΟΓΙΣΜΟΙ!AX23,pin!$X$5:$AN$5,0))+0.4*(AY23-AE23)*(INDEX(pin!$X$6:$AN$42,MATCH(ΥΠΟΛΟΓΙΣΜΟΙ!AY23,pin!$V$6:$V$42,0),MATCH(ΥΠΟΛΟΓΙΣΜΟΙ!AX23,pin!$X$5:$AN$5,0))-INDEX(pin!$X$6:$AN$42,MATCH(ΥΠΟΛΟΓΙΣΜΟΙ!AZ23,pin!$V$6:$V$42,0),MATCH(ΥΠΟΛΟΓΙΣΜΟΙ!AX23,pin!$X$5:$AN$5,0)))</f>
        <v>1</v>
      </c>
      <c r="BE23" s="209">
        <f t="shared" si="22"/>
        <v>0</v>
      </c>
      <c r="BF23" s="210">
        <f t="shared" si="23"/>
        <v>0</v>
      </c>
      <c r="BG23" s="210">
        <f>INDEX(pin!$D$48:$T$84,MATCH(ΥΠΟΛΟΓΙΣΜΟΙ!BE23,pin!$B$48:$B$84,0),MATCH(ΥΠΟΛΟΓΙΣΜΟΙ!AW23,pin!$D$47:$T$47,0))+0.4*(BE23-AF23)*(INDEX(pin!$D$48:$T$84,MATCH(ΥΠΟΛΟΓΙΣΜΟΙ!BE23,pin!$B$48:$B$84,0),MATCH(ΥΠΟΛΟΓΙΣΜΟΙ!AW23,pin!$D$47:$T$47,0))-INDEX(pin!$D$48:$T$84,MATCH(ΥΠΟΛΟΓΙΣΜΟΙ!BF23,pin!$B$48:$B$84,0),MATCH(ΥΠΟΛΟΓΙΣΜΟΙ!AW23,pin!$D$47:$T$47,0)))</f>
        <v>1</v>
      </c>
      <c r="BH23" s="210">
        <f>INDEX(pin!$D$48:$T$84,MATCH(ΥΠΟΛΟΓΙΣΜΟΙ!BE23,pin!$B$48:$B$84,0),MATCH(ΥΠΟΛΟΓΙΣΜΟΙ!AX23,pin!$D$47:$T$47,0))+0.4*(BE23-AF23)*(INDEX(pin!$D$48:$T$84,MATCH(ΥΠΟΛΟΓΙΣΜΟΙ!BE23,pin!$B$48:$B$84,0),MATCH(ΥΠΟΛΟΓΙΣΜΟΙ!AX23,pin!$D$47:$T$47,0))-INDEX(pin!$D$48:$T$84,MATCH(ΥΠΟΛΟΓΙΣΜΟΙ!BF23,pin!$B$48:$B$84,0),MATCH(ΥΠΟΛΟΓΙΣΜΟΙ!AX23,pin!$D$47:$T$47,0)))</f>
        <v>1</v>
      </c>
      <c r="BI23" s="209">
        <f>INDEX(pin!$X$48:$AN$84,MATCH(ΥΠΟΛΟΓΙΣΜΟΙ!BE23,pin!$V$48:$V$84,0),MATCH(ΥΠΟΛΟΓΙΣΜΟΙ!AW23,pin!$X$47:$AN$47,0))+0.4*(BE23-AF23)*(INDEX(pin!$X$48:$AN$84,MATCH(ΥΠΟΛΟΓΙΣΜΟΙ!BE23,pin!$V$48:$V$84,0),MATCH(ΥΠΟΛΟΓΙΣΜΟΙ!AW23,pin!$X$47:$AN$47,0))-INDEX(pin!$X$48:$AN$84,MATCH(ΥΠΟΛΟΓΙΣΜΟΙ!BF23,pin!$V$48:$V$84,0),MATCH(ΥΠΟΛΟΓΙΣΜΟΙ!AW23,pin!$X$47:$AN$47,0)))</f>
        <v>1</v>
      </c>
      <c r="BJ23" s="225">
        <f>INDEX(pin!$X$48:$AN$84,MATCH(ΥΠΟΛΟΓΙΣΜΟΙ!BE23,pin!$V$48:$V$84,0),MATCH(ΥΠΟΛΟΓΙΣΜΟΙ!AX23,pin!$X$47:$AN$47,0))+0.4*(BE23-AF23)*(INDEX(pin!$X$48:$AN$84,MATCH(ΥΠΟΛΟΓΙΣΜΟΙ!BE23,pin!$V$48:$V$84,0),MATCH(ΥΠΟΛΟΓΙΣΜΟΙ!AX23,pin!$X$47:$AN$47,0))-INDEX(pin!$X$48:$AN$84,MATCH(ΥΠΟΛΟΓΙΣΜΟΙ!BF23,pin!$V$48:$V$84,0),MATCH(ΥΠΟΛΟΓΙΣΜΟΙ!AX23,pin!$X$47:$AN$47,0)))</f>
        <v>1</v>
      </c>
      <c r="BK23" s="209">
        <f t="shared" si="24"/>
        <v>0</v>
      </c>
      <c r="BL23" s="210">
        <f t="shared" si="25"/>
        <v>0</v>
      </c>
      <c r="BM23" s="210">
        <f>INDEX(pin!$X$48:$AN$84,MATCH(ΥΠΟΛΟΓΙΣΜΟΙ!BK23,pin!$V$48:$V$84,0),MATCH(ΥΠΟΛΟΓΙΣΜΟΙ!AW23,pin!$X$47:$AN$47,0))+0.4*(BK23-AG23)*(INDEX(pin!$X$48:$AN$84,MATCH(ΥΠΟΛΟΓΙΣΜΟΙ!BK23,pin!$V$48:$V$84,0),MATCH(ΥΠΟΛΟΓΙΣΜΟΙ!AW23,pin!$X$47:$AN$47,0))-INDEX(pin!$X$48:$AN$84,MATCH(ΥΠΟΛΟΓΙΣΜΟΙ!BL23,pin!$V$48:$V$84,0),MATCH(ΥΠΟΛΟΓΙΣΜΟΙ!AW23,pin!$X$47:$AN$47,0)))</f>
        <v>1</v>
      </c>
      <c r="BN23" s="225">
        <f>INDEX(pin!$X$48:$AN$84,MATCH(ΥΠΟΛΟΓΙΣΜΟΙ!BK23,pin!$V$48:$V$84,0),MATCH(ΥΠΟΛΟΓΙΣΜΟΙ!AX23,pin!$X$47:$AN$47,0))+0.4*(BK23-AG23)*(INDEX(pin!$X$48:$AN$84,MATCH(ΥΠΟΛΟΓΙΣΜΟΙ!BK23,pin!$V$48:$V$84,0),MATCH(ΥΠΟΛΟΓΙΣΜΟΙ!AX23,pin!$X$47:$AN$47,0))-INDEX(pin!$X$48:$AN$84,MATCH(ΥΠΟΛΟΓΙΣΜΟΙ!BL23,pin!$V$48:$V$84,0),MATCH(ΥΠΟΛΟΓΙΣΜΟΙ!AX23,pin!$X$47:$AN$47,0)))</f>
        <v>1</v>
      </c>
      <c r="BO23" s="209">
        <f t="shared" si="26"/>
        <v>0</v>
      </c>
      <c r="BP23" s="210">
        <f t="shared" si="27"/>
        <v>0</v>
      </c>
      <c r="BQ23" s="210">
        <f>INDEX(pin!$D$114:$T$132,MATCH(ΥΠΟΛΟΓΙΣΜΟΙ!BO23,pin!$B$114:$B$132,0),MATCH(ΥΠΟΛΟΓΙΣΜΟΙ!AW23,pin!$D$113:$T$113,0))+0.2*(BO23-AH23)*(INDEX(pin!$D$114:$T$132,MATCH(ΥΠΟΛΟΓΙΣΜΟΙ!BO23,pin!$B$114:$B$132,0),MATCH(ΥΠΟΛΟΓΙΣΜΟΙ!AW23,pin!$D$113:$T$113,0))-INDEX(pin!$D$114:$T$132,MATCH(ΥΠΟΛΟΓΙΣΜΟΙ!BP23,pin!$B$114:$B$132,0),MATCH(ΥΠΟΛΟΓΙΣΜΟΙ!AW23,pin!$D$113:$T$113,0)))</f>
        <v>1</v>
      </c>
      <c r="BR23" s="210">
        <f>INDEX(pin!$D$114:$T$132,MATCH(ΥΠΟΛΟΓΙΣΜΟΙ!BO23,pin!$B$114:$B$132,0),MATCH(ΥΠΟΛΟΓΙΣΜΟΙ!AX23,pin!$D$113:$T$113,0))+0.2*(BO23-AH23)*(INDEX(pin!$D$114:$T$132,MATCH(ΥΠΟΛΟΓΙΣΜΟΙ!BO23,pin!$B$114:$B$132,0),MATCH(ΥΠΟΛΟΓΙΣΜΟΙ!AX23,pin!$D$113:$T$113,0))-INDEX(pin!$D$114:$T$132,MATCH(ΥΠΟΛΟΓΙΣΜΟΙ!BP23,pin!$B$114:$B$132,0),MATCH(ΥΠΟΛΟΓΙΣΜΟΙ!AX23,pin!$D$113:$T$113,0)))</f>
        <v>1</v>
      </c>
      <c r="BS23" s="209">
        <f>INDEX(pin!$X$114:$AN$132,MATCH(ΥΠΟΛΟΓΙΣΜΟΙ!BO23,pin!$V$114:$V$132,0),MATCH(ΥΠΟΛΟΓΙΣΜΟΙ!AW23,pin!$X$113:$AN$113,0))+0.2*(BO23-AH23)*(INDEX(pin!$X$114:$AN$132,MATCH(ΥΠΟΛΟΓΙΣΜΟΙ!BO23,pin!$V$114:$V$132,0),MATCH(ΥΠΟΛΟΓΙΣΜΟΙ!AW23,pin!$X$113:$AN$113,0))-INDEX(pin!$X$114:$AN$132,MATCH(ΥΠΟΛΟΓΙΣΜΟΙ!BP23,pin!$V$114:$V$132,0),MATCH(ΥΠΟΛΟΓΙΣΜΟΙ!AW23,pin!$X$113:$AN$113,0)))</f>
        <v>1</v>
      </c>
      <c r="BT23" s="225">
        <f>INDEX(pin!$X$114:$AN$132,MATCH(ΥΠΟΛΟΓΙΣΜΟΙ!BO23,pin!$V$114:$V$132,0),MATCH(ΥΠΟΛΟΓΙΣΜΟΙ!AX23,pin!$X$113:$AN$113,0))+0.2*(BO23-AH23)*(INDEX(pin!$X$114:$AN$132,MATCH(ΥΠΟΛΟΓΙΣΜΟΙ!BO23,pin!$V$114:$V$132,0),MATCH(ΥΠΟΛΟΓΙΣΜΟΙ!AX23,pin!$X$113:$AN$113,0))-INDEX(pin!$X$114:$AN$132,MATCH(ΥΠΟΛΟΓΙΣΜΟΙ!BP23,pin!$V$114:$V$132,0),MATCH(ΥΠΟΛΟΓΙΣΜΟΙ!AX23,pin!$X$113:$AN$113,0)))</f>
        <v>1</v>
      </c>
      <c r="BU23" s="209">
        <f t="shared" si="28"/>
        <v>0</v>
      </c>
      <c r="BV23" s="210">
        <f t="shared" si="29"/>
        <v>0</v>
      </c>
      <c r="BW23" s="210">
        <f>INDEX(pin!$D$90:$T$108,MATCH(ΥΠΟΛΟΓΙΣΜΟΙ!BU23,pin!$B$90:$B$108,0),MATCH(ΥΠΟΛΟΓΙΣΜΟΙ!AW23,pin!$D$89:$T$89,0))+0.2*(BU23-AI23)*(INDEX(pin!$D$90:$T$108,MATCH(ΥΠΟΛΟΓΙΣΜΟΙ!BU23,pin!$B$90:$B$108,0),MATCH(ΥΠΟΛΟΓΙΣΜΟΙ!AW23,pin!$D$89:$T$89,0))-INDEX(pin!$D$90:$T$108,MATCH(ΥΠΟΛΟΓΙΣΜΟΙ!BV23,pin!$B$90:$B$108,0),MATCH(ΥΠΟΛΟΓΙΣΜΟΙ!AW23,pin!$D$89:$T$89,0)))</f>
        <v>1</v>
      </c>
      <c r="BX23" s="225">
        <f>INDEX(pin!$D$90:$T$108,MATCH(ΥΠΟΛΟΓΙΣΜΟΙ!BU23,pin!$B$90:$B$108,0),MATCH(ΥΠΟΛΟΓΙΣΜΟΙ!AX23,pin!$D$89:$T$89,0))+0.2*(BU23-AI23)*(INDEX(pin!$D$90:$T$108,MATCH(ΥΠΟΛΟΓΙΣΜΟΙ!BU23,pin!$B$90:$B$108,0),MATCH(ΥΠΟΛΟΓΙΣΜΟΙ!AX23,pin!$D$89:$T$89,0))-INDEX(pin!$D$90:$T$108,MATCH(ΥΠΟΛΟΓΙΣΜΟΙ!BV23,pin!$B$90:$B$108,0),MATCH(ΥΠΟΛΟΓΙΣΜΟΙ!AX23,pin!$D$89:$T$89,0)))</f>
        <v>1</v>
      </c>
      <c r="BY23" s="210">
        <f>INDEX(pin!$X$90:$AN$108,MATCH(ΥΠΟΛΟΓΙΣΜΟΙ!BU23,pin!$V$90:$V$108,0),MATCH(ΥΠΟΛΟΓΙΣΜΟΙ!AW23,pin!$X$89:$AN$89,0))+0.2*(BU23-AI23)*(INDEX(pin!$X$90:$AN$108,MATCH(ΥΠΟΛΟΓΙΣΜΟΙ!BU23,pin!$V$90:$V$108,0),MATCH(ΥΠΟΛΟΓΙΣΜΟΙ!AW23,pin!$X$89:$AN$89,0))-INDEX(pin!$X$90:$AN$108,MATCH(ΥΠΟΛΟΓΙΣΜΟΙ!BV23,pin!$V$90:$V$108,0),MATCH(ΥΠΟΛΟΓΙΣΜΟΙ!AW23,pin!$X$89:$AN$89,0)))</f>
        <v>1</v>
      </c>
      <c r="BZ23" s="225">
        <f>INDEX(pin!$X$90:$AN$108,MATCH(ΥΠΟΛΟΓΙΣΜΟΙ!BU23,pin!$V$90:$V$108,0),MATCH(ΥΠΟΛΟΓΙΣΜΟΙ!AX23,pin!$X$89:$AN$89,0))+0.2*(BU23-AI23)*(INDEX(pin!$X$90:$AN$108,MATCH(ΥΠΟΛΟΓΙΣΜΟΙ!BU23,pin!$V$90:$V$108,0),MATCH(ΥΠΟΛΟΓΙΣΜΟΙ!AX23,pin!$X$89:$AN$89,0))-INDEX(pin!$X$90:$AN$108,MATCH(ΥΠΟΛΟΓΙΣΜΟΙ!BV23,pin!$V$90:$V$108,0),MATCH(ΥΠΟΛΟΓΙΣΜΟΙ!AX23,pin!$X$89:$AN$89,0)))</f>
        <v>1</v>
      </c>
      <c r="CA23" s="213"/>
      <c r="DF23" s="261"/>
      <c r="DI23" s="261"/>
    </row>
    <row r="24" spans="1:113">
      <c r="A24" s="56">
        <v>7</v>
      </c>
      <c r="B24" s="128"/>
      <c r="C24" s="126"/>
      <c r="D24" s="126"/>
      <c r="E24" s="47" t="str">
        <f t="shared" si="1"/>
        <v>-</v>
      </c>
      <c r="F24" s="126"/>
      <c r="G24" s="269" t="str">
        <f t="shared" si="2"/>
        <v>-</v>
      </c>
      <c r="H24" s="270"/>
      <c r="I24" s="126"/>
      <c r="J24" s="126"/>
      <c r="K24" s="265" t="str">
        <f t="shared" si="3"/>
        <v>-</v>
      </c>
      <c r="L24" s="264"/>
      <c r="M24" s="129"/>
      <c r="N24" s="200" t="str">
        <f>IF(L24="","-",IFERROR(IF(C24&lt;0,"-",INDEX(pin!$AR$6:$AR$22,MATCH(MROUND(ΥΠΟΛΟΓΙΣΜΟΙ!L24,22.5),pin!$AQ$6:$AQ$22))),"-"))</f>
        <v>-</v>
      </c>
      <c r="O24" s="46">
        <f t="shared" si="4"/>
        <v>1</v>
      </c>
      <c r="P24" s="130">
        <f t="shared" si="30"/>
        <v>1</v>
      </c>
      <c r="Q24" s="46">
        <f t="shared" si="5"/>
        <v>1</v>
      </c>
      <c r="R24" s="130">
        <f t="shared" si="6"/>
        <v>1</v>
      </c>
      <c r="S24" s="46">
        <f t="shared" si="7"/>
        <v>1</v>
      </c>
      <c r="T24" s="130">
        <f t="shared" si="8"/>
        <v>1</v>
      </c>
      <c r="U24" s="131"/>
      <c r="V24" s="132"/>
      <c r="W24" s="126"/>
      <c r="X24" s="127"/>
      <c r="Y24" s="182"/>
      <c r="Z24" s="132"/>
      <c r="AA24" s="126"/>
      <c r="AB24" s="126"/>
      <c r="AC24" s="131"/>
      <c r="AD24" s="127"/>
      <c r="AE24" s="226">
        <f t="shared" si="0"/>
        <v>0</v>
      </c>
      <c r="AF24" s="202">
        <f t="shared" si="9"/>
        <v>0</v>
      </c>
      <c r="AG24" s="202">
        <f t="shared" si="10"/>
        <v>0</v>
      </c>
      <c r="AH24" s="202">
        <f t="shared" si="11"/>
        <v>0</v>
      </c>
      <c r="AI24" s="202">
        <f t="shared" si="12"/>
        <v>0</v>
      </c>
      <c r="AJ24" s="203">
        <f t="shared" si="13"/>
        <v>1</v>
      </c>
      <c r="AK24" s="203">
        <f t="shared" si="14"/>
        <v>1</v>
      </c>
      <c r="AL24" s="203">
        <f t="shared" si="15"/>
        <v>1</v>
      </c>
      <c r="AM24" s="203">
        <f t="shared" si="16"/>
        <v>1</v>
      </c>
      <c r="AN24" s="209">
        <f t="shared" si="17"/>
        <v>0</v>
      </c>
      <c r="AO24" s="210"/>
      <c r="AP24" s="210"/>
      <c r="AQ24" s="210"/>
      <c r="AR24" s="210"/>
      <c r="AS24" s="210"/>
      <c r="AT24" s="210"/>
      <c r="AU24" s="210"/>
      <c r="AV24" s="210" t="s">
        <v>268</v>
      </c>
      <c r="AW24" s="210">
        <f t="shared" si="18"/>
        <v>0</v>
      </c>
      <c r="AX24" s="225">
        <f t="shared" si="19"/>
        <v>0</v>
      </c>
      <c r="AY24" s="209">
        <f t="shared" si="20"/>
        <v>0</v>
      </c>
      <c r="AZ24" s="210">
        <f t="shared" si="21"/>
        <v>0</v>
      </c>
      <c r="BA24" s="210">
        <f>INDEX(pin!$D$6:$T$42,MATCH(ΥΠΟΛΟΓΙΣΜΟΙ!AY24,pin!$B$6:$B$42,0),MATCH(ΥΠΟΛΟΓΙΣΜΟΙ!AW24,pin!$D$5:$T$5,0))+0.4*(AY24-AE24)*(INDEX(pin!$D$6:$T$42,MATCH(ΥΠΟΛΟΓΙΣΜΟΙ!AY24,pin!$B$6:$B$42,0),MATCH(ΥΠΟΛΟΓΙΣΜΟΙ!AW24,pin!$D$5:$T$5,0))-INDEX(pin!$D$6:$T$42,MATCH(ΥΠΟΛΟΓΙΣΜΟΙ!AZ24,pin!$B$6:$B$42,0),MATCH(ΥΠΟΛΟΓΙΣΜΟΙ!AW24,pin!$D$5:$T$5,0)))</f>
        <v>1</v>
      </c>
      <c r="BB24" s="225">
        <f>INDEX(pin!$D$6:$T$42,MATCH(ΥΠΟΛΟΓΙΣΜΟΙ!AY24,pin!$B$6:$B$42,0),MATCH(ΥΠΟΛΟΓΙΣΜΟΙ!AX24,pin!$D$5:$T$5,0))+0.4*(AY24-AE24)*(INDEX(pin!$D$6:$T$42,MATCH(ΥΠΟΛΟΓΙΣΜΟΙ!AY24,pin!$B$6:$B$42,0),MATCH(ΥΠΟΛΟΓΙΣΜΟΙ!AX24,pin!$D$5:$T$5,0))-INDEX(pin!$D$6:$T$42,MATCH(ΥΠΟΛΟΓΙΣΜΟΙ!AZ24,pin!$B$6:$B$42,0),MATCH(ΥΠΟΛΟΓΙΣΜΟΙ!AX24,pin!$D$5:$T$5,0)))</f>
        <v>1</v>
      </c>
      <c r="BC24" s="210">
        <f>INDEX(pin!$X$6:$AN$42,MATCH(ΥΠΟΛΟΓΙΣΜΟΙ!AY24,pin!$V$6:$V$42,0),MATCH(ΥΠΟΛΟΓΙΣΜΟΙ!AW24,pin!$X$5:$AN$5,0))+0.4*(AY24-AE24)*(INDEX(pin!$X$6:$AN$42,MATCH(ΥΠΟΛΟΓΙΣΜΟΙ!AY24,pin!$V$6:$V$42,0),MATCH(ΥΠΟΛΟΓΙΣΜΟΙ!AW24,pin!$X$5:$AN$5,0))-INDEX(pin!$X$6:$AN$42,MATCH(ΥΠΟΛΟΓΙΣΜΟΙ!AZ24,pin!$V$6:$V$42,0),MATCH(ΥΠΟΛΟΓΙΣΜΟΙ!AW24,pin!$X$5:$AN$5,0)))</f>
        <v>1</v>
      </c>
      <c r="BD24" s="210">
        <f>INDEX(pin!$X$6:$AN$42,MATCH(ΥΠΟΛΟΓΙΣΜΟΙ!AY24,pin!$V$6:$V$42,0),MATCH(ΥΠΟΛΟΓΙΣΜΟΙ!AX24,pin!$X$5:$AN$5,0))+0.4*(AY24-AE24)*(INDEX(pin!$X$6:$AN$42,MATCH(ΥΠΟΛΟΓΙΣΜΟΙ!AY24,pin!$V$6:$V$42,0),MATCH(ΥΠΟΛΟΓΙΣΜΟΙ!AX24,pin!$X$5:$AN$5,0))-INDEX(pin!$X$6:$AN$42,MATCH(ΥΠΟΛΟΓΙΣΜΟΙ!AZ24,pin!$V$6:$V$42,0),MATCH(ΥΠΟΛΟΓΙΣΜΟΙ!AX24,pin!$X$5:$AN$5,0)))</f>
        <v>1</v>
      </c>
      <c r="BE24" s="209">
        <f t="shared" si="22"/>
        <v>0</v>
      </c>
      <c r="BF24" s="210">
        <f t="shared" si="23"/>
        <v>0</v>
      </c>
      <c r="BG24" s="210">
        <f>INDEX(pin!$D$48:$T$84,MATCH(ΥΠΟΛΟΓΙΣΜΟΙ!BE24,pin!$B$48:$B$84,0),MATCH(ΥΠΟΛΟΓΙΣΜΟΙ!AW24,pin!$D$47:$T$47,0))+0.4*(BE24-AF24)*(INDEX(pin!$D$48:$T$84,MATCH(ΥΠΟΛΟΓΙΣΜΟΙ!BE24,pin!$B$48:$B$84,0),MATCH(ΥΠΟΛΟΓΙΣΜΟΙ!AW24,pin!$D$47:$T$47,0))-INDEX(pin!$D$48:$T$84,MATCH(ΥΠΟΛΟΓΙΣΜΟΙ!BF24,pin!$B$48:$B$84,0),MATCH(ΥΠΟΛΟΓΙΣΜΟΙ!AW24,pin!$D$47:$T$47,0)))</f>
        <v>1</v>
      </c>
      <c r="BH24" s="210">
        <f>INDEX(pin!$D$48:$T$84,MATCH(ΥΠΟΛΟΓΙΣΜΟΙ!BE24,pin!$B$48:$B$84,0),MATCH(ΥΠΟΛΟΓΙΣΜΟΙ!AX24,pin!$D$47:$T$47,0))+0.4*(BE24-AF24)*(INDEX(pin!$D$48:$T$84,MATCH(ΥΠΟΛΟΓΙΣΜΟΙ!BE24,pin!$B$48:$B$84,0),MATCH(ΥΠΟΛΟΓΙΣΜΟΙ!AX24,pin!$D$47:$T$47,0))-INDEX(pin!$D$48:$T$84,MATCH(ΥΠΟΛΟΓΙΣΜΟΙ!BF24,pin!$B$48:$B$84,0),MATCH(ΥΠΟΛΟΓΙΣΜΟΙ!AX24,pin!$D$47:$T$47,0)))</f>
        <v>1</v>
      </c>
      <c r="BI24" s="209">
        <f>INDEX(pin!$X$48:$AN$84,MATCH(ΥΠΟΛΟΓΙΣΜΟΙ!BE24,pin!$V$48:$V$84,0),MATCH(ΥΠΟΛΟΓΙΣΜΟΙ!AW24,pin!$X$47:$AN$47,0))+0.4*(BE24-AF24)*(INDEX(pin!$X$48:$AN$84,MATCH(ΥΠΟΛΟΓΙΣΜΟΙ!BE24,pin!$V$48:$V$84,0),MATCH(ΥΠΟΛΟΓΙΣΜΟΙ!AW24,pin!$X$47:$AN$47,0))-INDEX(pin!$X$48:$AN$84,MATCH(ΥΠΟΛΟΓΙΣΜΟΙ!BF24,pin!$V$48:$V$84,0),MATCH(ΥΠΟΛΟΓΙΣΜΟΙ!AW24,pin!$X$47:$AN$47,0)))</f>
        <v>1</v>
      </c>
      <c r="BJ24" s="225">
        <f>INDEX(pin!$X$48:$AN$84,MATCH(ΥΠΟΛΟΓΙΣΜΟΙ!BE24,pin!$V$48:$V$84,0),MATCH(ΥΠΟΛΟΓΙΣΜΟΙ!AX24,pin!$X$47:$AN$47,0))+0.4*(BE24-AF24)*(INDEX(pin!$X$48:$AN$84,MATCH(ΥΠΟΛΟΓΙΣΜΟΙ!BE24,pin!$V$48:$V$84,0),MATCH(ΥΠΟΛΟΓΙΣΜΟΙ!AX24,pin!$X$47:$AN$47,0))-INDEX(pin!$X$48:$AN$84,MATCH(ΥΠΟΛΟΓΙΣΜΟΙ!BF24,pin!$V$48:$V$84,0),MATCH(ΥΠΟΛΟΓΙΣΜΟΙ!AX24,pin!$X$47:$AN$47,0)))</f>
        <v>1</v>
      </c>
      <c r="BK24" s="209">
        <f t="shared" si="24"/>
        <v>0</v>
      </c>
      <c r="BL24" s="210">
        <f t="shared" si="25"/>
        <v>0</v>
      </c>
      <c r="BM24" s="210">
        <f>INDEX(pin!$X$48:$AN$84,MATCH(ΥΠΟΛΟΓΙΣΜΟΙ!BK24,pin!$V$48:$V$84,0),MATCH(ΥΠΟΛΟΓΙΣΜΟΙ!AW24,pin!$X$47:$AN$47,0))+0.4*(BK24-AG24)*(INDEX(pin!$X$48:$AN$84,MATCH(ΥΠΟΛΟΓΙΣΜΟΙ!BK24,pin!$V$48:$V$84,0),MATCH(ΥΠΟΛΟΓΙΣΜΟΙ!AW24,pin!$X$47:$AN$47,0))-INDEX(pin!$X$48:$AN$84,MATCH(ΥΠΟΛΟΓΙΣΜΟΙ!BL24,pin!$V$48:$V$84,0),MATCH(ΥΠΟΛΟΓΙΣΜΟΙ!AW24,pin!$X$47:$AN$47,0)))</f>
        <v>1</v>
      </c>
      <c r="BN24" s="225">
        <f>INDEX(pin!$X$48:$AN$84,MATCH(ΥΠΟΛΟΓΙΣΜΟΙ!BK24,pin!$V$48:$V$84,0),MATCH(ΥΠΟΛΟΓΙΣΜΟΙ!AX24,pin!$X$47:$AN$47,0))+0.4*(BK24-AG24)*(INDEX(pin!$X$48:$AN$84,MATCH(ΥΠΟΛΟΓΙΣΜΟΙ!BK24,pin!$V$48:$V$84,0),MATCH(ΥΠΟΛΟΓΙΣΜΟΙ!AX24,pin!$X$47:$AN$47,0))-INDEX(pin!$X$48:$AN$84,MATCH(ΥΠΟΛΟΓΙΣΜΟΙ!BL24,pin!$V$48:$V$84,0),MATCH(ΥΠΟΛΟΓΙΣΜΟΙ!AX24,pin!$X$47:$AN$47,0)))</f>
        <v>1</v>
      </c>
      <c r="BO24" s="209">
        <f t="shared" si="26"/>
        <v>0</v>
      </c>
      <c r="BP24" s="210">
        <f t="shared" si="27"/>
        <v>0</v>
      </c>
      <c r="BQ24" s="210">
        <f>INDEX(pin!$D$114:$T$132,MATCH(ΥΠΟΛΟΓΙΣΜΟΙ!BO24,pin!$B$114:$B$132,0),MATCH(ΥΠΟΛΟΓΙΣΜΟΙ!AW24,pin!$D$113:$T$113,0))+0.2*(BO24-AH24)*(INDEX(pin!$D$114:$T$132,MATCH(ΥΠΟΛΟΓΙΣΜΟΙ!BO24,pin!$B$114:$B$132,0),MATCH(ΥΠΟΛΟΓΙΣΜΟΙ!AW24,pin!$D$113:$T$113,0))-INDEX(pin!$D$114:$T$132,MATCH(ΥΠΟΛΟΓΙΣΜΟΙ!BP24,pin!$B$114:$B$132,0),MATCH(ΥΠΟΛΟΓΙΣΜΟΙ!AW24,pin!$D$113:$T$113,0)))</f>
        <v>1</v>
      </c>
      <c r="BR24" s="210">
        <f>INDEX(pin!$D$114:$T$132,MATCH(ΥΠΟΛΟΓΙΣΜΟΙ!BO24,pin!$B$114:$B$132,0),MATCH(ΥΠΟΛΟΓΙΣΜΟΙ!AX24,pin!$D$113:$T$113,0))+0.2*(BO24-AH24)*(INDEX(pin!$D$114:$T$132,MATCH(ΥΠΟΛΟΓΙΣΜΟΙ!BO24,pin!$B$114:$B$132,0),MATCH(ΥΠΟΛΟΓΙΣΜΟΙ!AX24,pin!$D$113:$T$113,0))-INDEX(pin!$D$114:$T$132,MATCH(ΥΠΟΛΟΓΙΣΜΟΙ!BP24,pin!$B$114:$B$132,0),MATCH(ΥΠΟΛΟΓΙΣΜΟΙ!AX24,pin!$D$113:$T$113,0)))</f>
        <v>1</v>
      </c>
      <c r="BS24" s="209">
        <f>INDEX(pin!$X$114:$AN$132,MATCH(ΥΠΟΛΟΓΙΣΜΟΙ!BO24,pin!$V$114:$V$132,0),MATCH(ΥΠΟΛΟΓΙΣΜΟΙ!AW24,pin!$X$113:$AN$113,0))+0.2*(BO24-AH24)*(INDEX(pin!$X$114:$AN$132,MATCH(ΥΠΟΛΟΓΙΣΜΟΙ!BO24,pin!$V$114:$V$132,0),MATCH(ΥΠΟΛΟΓΙΣΜΟΙ!AW24,pin!$X$113:$AN$113,0))-INDEX(pin!$X$114:$AN$132,MATCH(ΥΠΟΛΟΓΙΣΜΟΙ!BP24,pin!$V$114:$V$132,0),MATCH(ΥΠΟΛΟΓΙΣΜΟΙ!AW24,pin!$X$113:$AN$113,0)))</f>
        <v>1</v>
      </c>
      <c r="BT24" s="225">
        <f>INDEX(pin!$X$114:$AN$132,MATCH(ΥΠΟΛΟΓΙΣΜΟΙ!BO24,pin!$V$114:$V$132,0),MATCH(ΥΠΟΛΟΓΙΣΜΟΙ!AX24,pin!$X$113:$AN$113,0))+0.2*(BO24-AH24)*(INDEX(pin!$X$114:$AN$132,MATCH(ΥΠΟΛΟΓΙΣΜΟΙ!BO24,pin!$V$114:$V$132,0),MATCH(ΥΠΟΛΟΓΙΣΜΟΙ!AX24,pin!$X$113:$AN$113,0))-INDEX(pin!$X$114:$AN$132,MATCH(ΥΠΟΛΟΓΙΣΜΟΙ!BP24,pin!$V$114:$V$132,0),MATCH(ΥΠΟΛΟΓΙΣΜΟΙ!AX24,pin!$X$113:$AN$113,0)))</f>
        <v>1</v>
      </c>
      <c r="BU24" s="209">
        <f t="shared" si="28"/>
        <v>0</v>
      </c>
      <c r="BV24" s="210">
        <f t="shared" si="29"/>
        <v>0</v>
      </c>
      <c r="BW24" s="210">
        <f>INDEX(pin!$D$90:$T$108,MATCH(ΥΠΟΛΟΓΙΣΜΟΙ!BU24,pin!$B$90:$B$108,0),MATCH(ΥΠΟΛΟΓΙΣΜΟΙ!AW24,pin!$D$89:$T$89,0))+0.2*(BU24-AI24)*(INDEX(pin!$D$90:$T$108,MATCH(ΥΠΟΛΟΓΙΣΜΟΙ!BU24,pin!$B$90:$B$108,0),MATCH(ΥΠΟΛΟΓΙΣΜΟΙ!AW24,pin!$D$89:$T$89,0))-INDEX(pin!$D$90:$T$108,MATCH(ΥΠΟΛΟΓΙΣΜΟΙ!BV24,pin!$B$90:$B$108,0),MATCH(ΥΠΟΛΟΓΙΣΜΟΙ!AW24,pin!$D$89:$T$89,0)))</f>
        <v>1</v>
      </c>
      <c r="BX24" s="225">
        <f>INDEX(pin!$D$90:$T$108,MATCH(ΥΠΟΛΟΓΙΣΜΟΙ!BU24,pin!$B$90:$B$108,0),MATCH(ΥΠΟΛΟΓΙΣΜΟΙ!AX24,pin!$D$89:$T$89,0))+0.2*(BU24-AI24)*(INDEX(pin!$D$90:$T$108,MATCH(ΥΠΟΛΟΓΙΣΜΟΙ!BU24,pin!$B$90:$B$108,0),MATCH(ΥΠΟΛΟΓΙΣΜΟΙ!AX24,pin!$D$89:$T$89,0))-INDEX(pin!$D$90:$T$108,MATCH(ΥΠΟΛΟΓΙΣΜΟΙ!BV24,pin!$B$90:$B$108,0),MATCH(ΥΠΟΛΟΓΙΣΜΟΙ!AX24,pin!$D$89:$T$89,0)))</f>
        <v>1</v>
      </c>
      <c r="BY24" s="210">
        <f>INDEX(pin!$X$90:$AN$108,MATCH(ΥΠΟΛΟΓΙΣΜΟΙ!BU24,pin!$V$90:$V$108,0),MATCH(ΥΠΟΛΟΓΙΣΜΟΙ!AW24,pin!$X$89:$AN$89,0))+0.2*(BU24-AI24)*(INDEX(pin!$X$90:$AN$108,MATCH(ΥΠΟΛΟΓΙΣΜΟΙ!BU24,pin!$V$90:$V$108,0),MATCH(ΥΠΟΛΟΓΙΣΜΟΙ!AW24,pin!$X$89:$AN$89,0))-INDEX(pin!$X$90:$AN$108,MATCH(ΥΠΟΛΟΓΙΣΜΟΙ!BV24,pin!$V$90:$V$108,0),MATCH(ΥΠΟΛΟΓΙΣΜΟΙ!AW24,pin!$X$89:$AN$89,0)))</f>
        <v>1</v>
      </c>
      <c r="BZ24" s="225">
        <f>INDEX(pin!$X$90:$AN$108,MATCH(ΥΠΟΛΟΓΙΣΜΟΙ!BU24,pin!$V$90:$V$108,0),MATCH(ΥΠΟΛΟΓΙΣΜΟΙ!AX24,pin!$X$89:$AN$89,0))+0.2*(BU24-AI24)*(INDEX(pin!$X$90:$AN$108,MATCH(ΥΠΟΛΟΓΙΣΜΟΙ!BU24,pin!$V$90:$V$108,0),MATCH(ΥΠΟΛΟΓΙΣΜΟΙ!AX24,pin!$X$89:$AN$89,0))-INDEX(pin!$X$90:$AN$108,MATCH(ΥΠΟΛΟΓΙΣΜΟΙ!BV24,pin!$V$90:$V$108,0),MATCH(ΥΠΟΛΟΓΙΣΜΟΙ!AX24,pin!$X$89:$AN$89,0)))</f>
        <v>1</v>
      </c>
      <c r="CA24" s="213"/>
      <c r="DF24" s="261"/>
      <c r="DI24" s="261"/>
    </row>
    <row r="25" spans="1:113">
      <c r="A25" s="56">
        <v>8</v>
      </c>
      <c r="B25" s="128"/>
      <c r="C25" s="126"/>
      <c r="D25" s="126"/>
      <c r="E25" s="47" t="str">
        <f t="shared" si="1"/>
        <v>-</v>
      </c>
      <c r="F25" s="126"/>
      <c r="G25" s="269" t="str">
        <f t="shared" si="2"/>
        <v>-</v>
      </c>
      <c r="H25" s="270"/>
      <c r="I25" s="126"/>
      <c r="J25" s="126"/>
      <c r="K25" s="265" t="str">
        <f t="shared" si="3"/>
        <v>-</v>
      </c>
      <c r="L25" s="264"/>
      <c r="M25" s="129"/>
      <c r="N25" s="200" t="str">
        <f>IF(L25="","-",IFERROR(IF(C25&lt;0,"-",INDEX(pin!$AR$6:$AR$22,MATCH(MROUND(ΥΠΟΛΟΓΙΣΜΟΙ!L25,22.5),pin!$AQ$6:$AQ$22))),"-"))</f>
        <v>-</v>
      </c>
      <c r="O25" s="46">
        <f t="shared" si="4"/>
        <v>1</v>
      </c>
      <c r="P25" s="130">
        <f t="shared" si="30"/>
        <v>1</v>
      </c>
      <c r="Q25" s="46">
        <f t="shared" si="5"/>
        <v>1</v>
      </c>
      <c r="R25" s="130">
        <f t="shared" si="6"/>
        <v>1</v>
      </c>
      <c r="S25" s="46">
        <f t="shared" si="7"/>
        <v>1</v>
      </c>
      <c r="T25" s="130">
        <f t="shared" si="8"/>
        <v>1</v>
      </c>
      <c r="U25" s="131"/>
      <c r="V25" s="132"/>
      <c r="W25" s="126"/>
      <c r="X25" s="127"/>
      <c r="Y25" s="182"/>
      <c r="Z25" s="132"/>
      <c r="AA25" s="126"/>
      <c r="AB25" s="126"/>
      <c r="AC25" s="131"/>
      <c r="AD25" s="127"/>
      <c r="AE25" s="226">
        <f t="shared" si="0"/>
        <v>0</v>
      </c>
      <c r="AF25" s="202">
        <f t="shared" si="9"/>
        <v>0</v>
      </c>
      <c r="AG25" s="202">
        <f t="shared" si="10"/>
        <v>0</v>
      </c>
      <c r="AH25" s="202">
        <f t="shared" si="11"/>
        <v>0</v>
      </c>
      <c r="AI25" s="202">
        <f t="shared" si="12"/>
        <v>0</v>
      </c>
      <c r="AJ25" s="203">
        <f t="shared" si="13"/>
        <v>1</v>
      </c>
      <c r="AK25" s="203">
        <f t="shared" si="14"/>
        <v>1</v>
      </c>
      <c r="AL25" s="203">
        <f t="shared" si="15"/>
        <v>1</v>
      </c>
      <c r="AM25" s="203">
        <f t="shared" si="16"/>
        <v>1</v>
      </c>
      <c r="AN25" s="209">
        <f t="shared" si="17"/>
        <v>0</v>
      </c>
      <c r="AO25" s="210"/>
      <c r="AP25" s="210"/>
      <c r="AQ25" s="210"/>
      <c r="AR25" s="210"/>
      <c r="AS25" s="210"/>
      <c r="AT25" s="210"/>
      <c r="AU25" s="210"/>
      <c r="AV25" s="210" t="s">
        <v>268</v>
      </c>
      <c r="AW25" s="210">
        <f t="shared" si="18"/>
        <v>0</v>
      </c>
      <c r="AX25" s="225">
        <f t="shared" si="19"/>
        <v>0</v>
      </c>
      <c r="AY25" s="209">
        <f t="shared" si="20"/>
        <v>0</v>
      </c>
      <c r="AZ25" s="210">
        <f t="shared" si="21"/>
        <v>0</v>
      </c>
      <c r="BA25" s="210">
        <f>INDEX(pin!$D$6:$T$42,MATCH(ΥΠΟΛΟΓΙΣΜΟΙ!AY25,pin!$B$6:$B$42,0),MATCH(ΥΠΟΛΟΓΙΣΜΟΙ!AW25,pin!$D$5:$T$5,0))+0.4*(AY25-AE25)*(INDEX(pin!$D$6:$T$42,MATCH(ΥΠΟΛΟΓΙΣΜΟΙ!AY25,pin!$B$6:$B$42,0),MATCH(ΥΠΟΛΟΓΙΣΜΟΙ!AW25,pin!$D$5:$T$5,0))-INDEX(pin!$D$6:$T$42,MATCH(ΥΠΟΛΟΓΙΣΜΟΙ!AZ25,pin!$B$6:$B$42,0),MATCH(ΥΠΟΛΟΓΙΣΜΟΙ!AW25,pin!$D$5:$T$5,0)))</f>
        <v>1</v>
      </c>
      <c r="BB25" s="225">
        <f>INDEX(pin!$D$6:$T$42,MATCH(ΥΠΟΛΟΓΙΣΜΟΙ!AY25,pin!$B$6:$B$42,0),MATCH(ΥΠΟΛΟΓΙΣΜΟΙ!AX25,pin!$D$5:$T$5,0))+0.4*(AY25-AE25)*(INDEX(pin!$D$6:$T$42,MATCH(ΥΠΟΛΟΓΙΣΜΟΙ!AY25,pin!$B$6:$B$42,0),MATCH(ΥΠΟΛΟΓΙΣΜΟΙ!AX25,pin!$D$5:$T$5,0))-INDEX(pin!$D$6:$T$42,MATCH(ΥΠΟΛΟΓΙΣΜΟΙ!AZ25,pin!$B$6:$B$42,0),MATCH(ΥΠΟΛΟΓΙΣΜΟΙ!AX25,pin!$D$5:$T$5,0)))</f>
        <v>1</v>
      </c>
      <c r="BC25" s="210">
        <f>INDEX(pin!$X$6:$AN$42,MATCH(ΥΠΟΛΟΓΙΣΜΟΙ!AY25,pin!$V$6:$V$42,0),MATCH(ΥΠΟΛΟΓΙΣΜΟΙ!AW25,pin!$X$5:$AN$5,0))+0.4*(AY25-AE25)*(INDEX(pin!$X$6:$AN$42,MATCH(ΥΠΟΛΟΓΙΣΜΟΙ!AY25,pin!$V$6:$V$42,0),MATCH(ΥΠΟΛΟΓΙΣΜΟΙ!AW25,pin!$X$5:$AN$5,0))-INDEX(pin!$X$6:$AN$42,MATCH(ΥΠΟΛΟΓΙΣΜΟΙ!AZ25,pin!$V$6:$V$42,0),MATCH(ΥΠΟΛΟΓΙΣΜΟΙ!AW25,pin!$X$5:$AN$5,0)))</f>
        <v>1</v>
      </c>
      <c r="BD25" s="210">
        <f>INDEX(pin!$X$6:$AN$42,MATCH(ΥΠΟΛΟΓΙΣΜΟΙ!AY25,pin!$V$6:$V$42,0),MATCH(ΥΠΟΛΟΓΙΣΜΟΙ!AX25,pin!$X$5:$AN$5,0))+0.4*(AY25-AE25)*(INDEX(pin!$X$6:$AN$42,MATCH(ΥΠΟΛΟΓΙΣΜΟΙ!AY25,pin!$V$6:$V$42,0),MATCH(ΥΠΟΛΟΓΙΣΜΟΙ!AX25,pin!$X$5:$AN$5,0))-INDEX(pin!$X$6:$AN$42,MATCH(ΥΠΟΛΟΓΙΣΜΟΙ!AZ25,pin!$V$6:$V$42,0),MATCH(ΥΠΟΛΟΓΙΣΜΟΙ!AX25,pin!$X$5:$AN$5,0)))</f>
        <v>1</v>
      </c>
      <c r="BE25" s="209">
        <f t="shared" si="22"/>
        <v>0</v>
      </c>
      <c r="BF25" s="210">
        <f t="shared" si="23"/>
        <v>0</v>
      </c>
      <c r="BG25" s="210">
        <f>INDEX(pin!$D$48:$T$84,MATCH(ΥΠΟΛΟΓΙΣΜΟΙ!BE25,pin!$B$48:$B$84,0),MATCH(ΥΠΟΛΟΓΙΣΜΟΙ!AW25,pin!$D$47:$T$47,0))+0.4*(BE25-AF25)*(INDEX(pin!$D$48:$T$84,MATCH(ΥΠΟΛΟΓΙΣΜΟΙ!BE25,pin!$B$48:$B$84,0),MATCH(ΥΠΟΛΟΓΙΣΜΟΙ!AW25,pin!$D$47:$T$47,0))-INDEX(pin!$D$48:$T$84,MATCH(ΥΠΟΛΟΓΙΣΜΟΙ!BF25,pin!$B$48:$B$84,0),MATCH(ΥΠΟΛΟΓΙΣΜΟΙ!AW25,pin!$D$47:$T$47,0)))</f>
        <v>1</v>
      </c>
      <c r="BH25" s="210">
        <f>INDEX(pin!$D$48:$T$84,MATCH(ΥΠΟΛΟΓΙΣΜΟΙ!BE25,pin!$B$48:$B$84,0),MATCH(ΥΠΟΛΟΓΙΣΜΟΙ!AX25,pin!$D$47:$T$47,0))+0.4*(BE25-AF25)*(INDEX(pin!$D$48:$T$84,MATCH(ΥΠΟΛΟΓΙΣΜΟΙ!BE25,pin!$B$48:$B$84,0),MATCH(ΥΠΟΛΟΓΙΣΜΟΙ!AX25,pin!$D$47:$T$47,0))-INDEX(pin!$D$48:$T$84,MATCH(ΥΠΟΛΟΓΙΣΜΟΙ!BF25,pin!$B$48:$B$84,0),MATCH(ΥΠΟΛΟΓΙΣΜΟΙ!AX25,pin!$D$47:$T$47,0)))</f>
        <v>1</v>
      </c>
      <c r="BI25" s="209">
        <f>INDEX(pin!$X$48:$AN$84,MATCH(ΥΠΟΛΟΓΙΣΜΟΙ!BE25,pin!$V$48:$V$84,0),MATCH(ΥΠΟΛΟΓΙΣΜΟΙ!AW25,pin!$X$47:$AN$47,0))+0.4*(BE25-AF25)*(INDEX(pin!$X$48:$AN$84,MATCH(ΥΠΟΛΟΓΙΣΜΟΙ!BE25,pin!$V$48:$V$84,0),MATCH(ΥΠΟΛΟΓΙΣΜΟΙ!AW25,pin!$X$47:$AN$47,0))-INDEX(pin!$X$48:$AN$84,MATCH(ΥΠΟΛΟΓΙΣΜΟΙ!BF25,pin!$V$48:$V$84,0),MATCH(ΥΠΟΛΟΓΙΣΜΟΙ!AW25,pin!$X$47:$AN$47,0)))</f>
        <v>1</v>
      </c>
      <c r="BJ25" s="225">
        <f>INDEX(pin!$X$48:$AN$84,MATCH(ΥΠΟΛΟΓΙΣΜΟΙ!BE25,pin!$V$48:$V$84,0),MATCH(ΥΠΟΛΟΓΙΣΜΟΙ!AX25,pin!$X$47:$AN$47,0))+0.4*(BE25-AF25)*(INDEX(pin!$X$48:$AN$84,MATCH(ΥΠΟΛΟΓΙΣΜΟΙ!BE25,pin!$V$48:$V$84,0),MATCH(ΥΠΟΛΟΓΙΣΜΟΙ!AX25,pin!$X$47:$AN$47,0))-INDEX(pin!$X$48:$AN$84,MATCH(ΥΠΟΛΟΓΙΣΜΟΙ!BF25,pin!$V$48:$V$84,0),MATCH(ΥΠΟΛΟΓΙΣΜΟΙ!AX25,pin!$X$47:$AN$47,0)))</f>
        <v>1</v>
      </c>
      <c r="BK25" s="209">
        <f t="shared" si="24"/>
        <v>0</v>
      </c>
      <c r="BL25" s="210">
        <f t="shared" si="25"/>
        <v>0</v>
      </c>
      <c r="BM25" s="210">
        <f>INDEX(pin!$X$48:$AN$84,MATCH(ΥΠΟΛΟΓΙΣΜΟΙ!BK25,pin!$V$48:$V$84,0),MATCH(ΥΠΟΛΟΓΙΣΜΟΙ!AW25,pin!$X$47:$AN$47,0))+0.4*(BK25-AG25)*(INDEX(pin!$X$48:$AN$84,MATCH(ΥΠΟΛΟΓΙΣΜΟΙ!BK25,pin!$V$48:$V$84,0),MATCH(ΥΠΟΛΟΓΙΣΜΟΙ!AW25,pin!$X$47:$AN$47,0))-INDEX(pin!$X$48:$AN$84,MATCH(ΥΠΟΛΟΓΙΣΜΟΙ!BL25,pin!$V$48:$V$84,0),MATCH(ΥΠΟΛΟΓΙΣΜΟΙ!AW25,pin!$X$47:$AN$47,0)))</f>
        <v>1</v>
      </c>
      <c r="BN25" s="225">
        <f>INDEX(pin!$X$48:$AN$84,MATCH(ΥΠΟΛΟΓΙΣΜΟΙ!BK25,pin!$V$48:$V$84,0),MATCH(ΥΠΟΛΟΓΙΣΜΟΙ!AX25,pin!$X$47:$AN$47,0))+0.4*(BK25-AG25)*(INDEX(pin!$X$48:$AN$84,MATCH(ΥΠΟΛΟΓΙΣΜΟΙ!BK25,pin!$V$48:$V$84,0),MATCH(ΥΠΟΛΟΓΙΣΜΟΙ!AX25,pin!$X$47:$AN$47,0))-INDEX(pin!$X$48:$AN$84,MATCH(ΥΠΟΛΟΓΙΣΜΟΙ!BL25,pin!$V$48:$V$84,0),MATCH(ΥΠΟΛΟΓΙΣΜΟΙ!AX25,pin!$X$47:$AN$47,0)))</f>
        <v>1</v>
      </c>
      <c r="BO25" s="209">
        <f t="shared" si="26"/>
        <v>0</v>
      </c>
      <c r="BP25" s="210">
        <f t="shared" si="27"/>
        <v>0</v>
      </c>
      <c r="BQ25" s="210">
        <f>INDEX(pin!$D$114:$T$132,MATCH(ΥΠΟΛΟΓΙΣΜΟΙ!BO25,pin!$B$114:$B$132,0),MATCH(ΥΠΟΛΟΓΙΣΜΟΙ!AW25,pin!$D$113:$T$113,0))+0.2*(BO25-AH25)*(INDEX(pin!$D$114:$T$132,MATCH(ΥΠΟΛΟΓΙΣΜΟΙ!BO25,pin!$B$114:$B$132,0),MATCH(ΥΠΟΛΟΓΙΣΜΟΙ!AW25,pin!$D$113:$T$113,0))-INDEX(pin!$D$114:$T$132,MATCH(ΥΠΟΛΟΓΙΣΜΟΙ!BP25,pin!$B$114:$B$132,0),MATCH(ΥΠΟΛΟΓΙΣΜΟΙ!AW25,pin!$D$113:$T$113,0)))</f>
        <v>1</v>
      </c>
      <c r="BR25" s="210">
        <f>INDEX(pin!$D$114:$T$132,MATCH(ΥΠΟΛΟΓΙΣΜΟΙ!BO25,pin!$B$114:$B$132,0),MATCH(ΥΠΟΛΟΓΙΣΜΟΙ!AX25,pin!$D$113:$T$113,0))+0.2*(BO25-AH25)*(INDEX(pin!$D$114:$T$132,MATCH(ΥΠΟΛΟΓΙΣΜΟΙ!BO25,pin!$B$114:$B$132,0),MATCH(ΥΠΟΛΟΓΙΣΜΟΙ!AX25,pin!$D$113:$T$113,0))-INDEX(pin!$D$114:$T$132,MATCH(ΥΠΟΛΟΓΙΣΜΟΙ!BP25,pin!$B$114:$B$132,0),MATCH(ΥΠΟΛΟΓΙΣΜΟΙ!AX25,pin!$D$113:$T$113,0)))</f>
        <v>1</v>
      </c>
      <c r="BS25" s="209">
        <f>INDEX(pin!$X$114:$AN$132,MATCH(ΥΠΟΛΟΓΙΣΜΟΙ!BO25,pin!$V$114:$V$132,0),MATCH(ΥΠΟΛΟΓΙΣΜΟΙ!AW25,pin!$X$113:$AN$113,0))+0.2*(BO25-AH25)*(INDEX(pin!$X$114:$AN$132,MATCH(ΥΠΟΛΟΓΙΣΜΟΙ!BO25,pin!$V$114:$V$132,0),MATCH(ΥΠΟΛΟΓΙΣΜΟΙ!AW25,pin!$X$113:$AN$113,0))-INDEX(pin!$X$114:$AN$132,MATCH(ΥΠΟΛΟΓΙΣΜΟΙ!BP25,pin!$V$114:$V$132,0),MATCH(ΥΠΟΛΟΓΙΣΜΟΙ!AW25,pin!$X$113:$AN$113,0)))</f>
        <v>1</v>
      </c>
      <c r="BT25" s="225">
        <f>INDEX(pin!$X$114:$AN$132,MATCH(ΥΠΟΛΟΓΙΣΜΟΙ!BO25,pin!$V$114:$V$132,0),MATCH(ΥΠΟΛΟΓΙΣΜΟΙ!AX25,pin!$X$113:$AN$113,0))+0.2*(BO25-AH25)*(INDEX(pin!$X$114:$AN$132,MATCH(ΥΠΟΛΟΓΙΣΜΟΙ!BO25,pin!$V$114:$V$132,0),MATCH(ΥΠΟΛΟΓΙΣΜΟΙ!AX25,pin!$X$113:$AN$113,0))-INDEX(pin!$X$114:$AN$132,MATCH(ΥΠΟΛΟΓΙΣΜΟΙ!BP25,pin!$V$114:$V$132,0),MATCH(ΥΠΟΛΟΓΙΣΜΟΙ!AX25,pin!$X$113:$AN$113,0)))</f>
        <v>1</v>
      </c>
      <c r="BU25" s="209">
        <f t="shared" si="28"/>
        <v>0</v>
      </c>
      <c r="BV25" s="210">
        <f t="shared" si="29"/>
        <v>0</v>
      </c>
      <c r="BW25" s="210">
        <f>INDEX(pin!$D$90:$T$108,MATCH(ΥΠΟΛΟΓΙΣΜΟΙ!BU25,pin!$B$90:$B$108,0),MATCH(ΥΠΟΛΟΓΙΣΜΟΙ!AW25,pin!$D$89:$T$89,0))+0.2*(BU25-AI25)*(INDEX(pin!$D$90:$T$108,MATCH(ΥΠΟΛΟΓΙΣΜΟΙ!BU25,pin!$B$90:$B$108,0),MATCH(ΥΠΟΛΟΓΙΣΜΟΙ!AW25,pin!$D$89:$T$89,0))-INDEX(pin!$D$90:$T$108,MATCH(ΥΠΟΛΟΓΙΣΜΟΙ!BV25,pin!$B$90:$B$108,0),MATCH(ΥΠΟΛΟΓΙΣΜΟΙ!AW25,pin!$D$89:$T$89,0)))</f>
        <v>1</v>
      </c>
      <c r="BX25" s="225">
        <f>INDEX(pin!$D$90:$T$108,MATCH(ΥΠΟΛΟΓΙΣΜΟΙ!BU25,pin!$B$90:$B$108,0),MATCH(ΥΠΟΛΟΓΙΣΜΟΙ!AX25,pin!$D$89:$T$89,0))+0.2*(BU25-AI25)*(INDEX(pin!$D$90:$T$108,MATCH(ΥΠΟΛΟΓΙΣΜΟΙ!BU25,pin!$B$90:$B$108,0),MATCH(ΥΠΟΛΟΓΙΣΜΟΙ!AX25,pin!$D$89:$T$89,0))-INDEX(pin!$D$90:$T$108,MATCH(ΥΠΟΛΟΓΙΣΜΟΙ!BV25,pin!$B$90:$B$108,0),MATCH(ΥΠΟΛΟΓΙΣΜΟΙ!AX25,pin!$D$89:$T$89,0)))</f>
        <v>1</v>
      </c>
      <c r="BY25" s="210">
        <f>INDEX(pin!$X$90:$AN$108,MATCH(ΥΠΟΛΟΓΙΣΜΟΙ!BU25,pin!$V$90:$V$108,0),MATCH(ΥΠΟΛΟΓΙΣΜΟΙ!AW25,pin!$X$89:$AN$89,0))+0.2*(BU25-AI25)*(INDEX(pin!$X$90:$AN$108,MATCH(ΥΠΟΛΟΓΙΣΜΟΙ!BU25,pin!$V$90:$V$108,0),MATCH(ΥΠΟΛΟΓΙΣΜΟΙ!AW25,pin!$X$89:$AN$89,0))-INDEX(pin!$X$90:$AN$108,MATCH(ΥΠΟΛΟΓΙΣΜΟΙ!BV25,pin!$V$90:$V$108,0),MATCH(ΥΠΟΛΟΓΙΣΜΟΙ!AW25,pin!$X$89:$AN$89,0)))</f>
        <v>1</v>
      </c>
      <c r="BZ25" s="225">
        <f>INDEX(pin!$X$90:$AN$108,MATCH(ΥΠΟΛΟΓΙΣΜΟΙ!BU25,pin!$V$90:$V$108,0),MATCH(ΥΠΟΛΟΓΙΣΜΟΙ!AX25,pin!$X$89:$AN$89,0))+0.2*(BU25-AI25)*(INDEX(pin!$X$90:$AN$108,MATCH(ΥΠΟΛΟΓΙΣΜΟΙ!BU25,pin!$V$90:$V$108,0),MATCH(ΥΠΟΛΟΓΙΣΜΟΙ!AX25,pin!$X$89:$AN$89,0))-INDEX(pin!$X$90:$AN$108,MATCH(ΥΠΟΛΟΓΙΣΜΟΙ!BV25,pin!$V$90:$V$108,0),MATCH(ΥΠΟΛΟΓΙΣΜΟΙ!AX25,pin!$X$89:$AN$89,0)))</f>
        <v>1</v>
      </c>
      <c r="CA25" s="213"/>
      <c r="DF25" s="261"/>
      <c r="DI25" s="261"/>
    </row>
    <row r="26" spans="1:113">
      <c r="A26" s="56">
        <v>9</v>
      </c>
      <c r="B26" s="128"/>
      <c r="C26" s="126"/>
      <c r="D26" s="126"/>
      <c r="E26" s="47" t="str">
        <f t="shared" si="1"/>
        <v>-</v>
      </c>
      <c r="F26" s="126"/>
      <c r="G26" s="269" t="str">
        <f t="shared" si="2"/>
        <v>-</v>
      </c>
      <c r="H26" s="270"/>
      <c r="I26" s="126"/>
      <c r="J26" s="126"/>
      <c r="K26" s="265" t="str">
        <f t="shared" si="3"/>
        <v>-</v>
      </c>
      <c r="L26" s="264"/>
      <c r="M26" s="129"/>
      <c r="N26" s="200" t="str">
        <f>IF(L26="","-",IFERROR(IF(C26&lt;0,"-",INDEX(pin!$AR$6:$AR$22,MATCH(MROUND(ΥΠΟΛΟΓΙΣΜΟΙ!L26,22.5),pin!$AQ$6:$AQ$22))),"-"))</f>
        <v>-</v>
      </c>
      <c r="O26" s="46">
        <f t="shared" si="4"/>
        <v>1</v>
      </c>
      <c r="P26" s="130">
        <f t="shared" si="30"/>
        <v>1</v>
      </c>
      <c r="Q26" s="46">
        <f t="shared" si="5"/>
        <v>1</v>
      </c>
      <c r="R26" s="130">
        <f t="shared" si="6"/>
        <v>1</v>
      </c>
      <c r="S26" s="46">
        <f t="shared" si="7"/>
        <v>1</v>
      </c>
      <c r="T26" s="130">
        <f t="shared" si="8"/>
        <v>1</v>
      </c>
      <c r="U26" s="131"/>
      <c r="V26" s="132"/>
      <c r="W26" s="126"/>
      <c r="X26" s="127"/>
      <c r="Y26" s="182"/>
      <c r="Z26" s="132"/>
      <c r="AA26" s="126"/>
      <c r="AB26" s="126"/>
      <c r="AC26" s="131"/>
      <c r="AD26" s="127"/>
      <c r="AE26" s="226">
        <f t="shared" si="0"/>
        <v>0</v>
      </c>
      <c r="AF26" s="202">
        <f t="shared" si="9"/>
        <v>0</v>
      </c>
      <c r="AG26" s="202">
        <f t="shared" si="10"/>
        <v>0</v>
      </c>
      <c r="AH26" s="202">
        <f t="shared" si="11"/>
        <v>0</v>
      </c>
      <c r="AI26" s="202">
        <f t="shared" si="12"/>
        <v>0</v>
      </c>
      <c r="AJ26" s="203">
        <f t="shared" si="13"/>
        <v>1</v>
      </c>
      <c r="AK26" s="203">
        <f t="shared" si="14"/>
        <v>1</v>
      </c>
      <c r="AL26" s="203">
        <f t="shared" si="15"/>
        <v>1</v>
      </c>
      <c r="AM26" s="203">
        <f t="shared" si="16"/>
        <v>1</v>
      </c>
      <c r="AN26" s="209">
        <f t="shared" si="17"/>
        <v>0</v>
      </c>
      <c r="AO26" s="210"/>
      <c r="AP26" s="210"/>
      <c r="AQ26" s="210"/>
      <c r="AR26" s="210"/>
      <c r="AS26" s="210"/>
      <c r="AT26" s="210"/>
      <c r="AU26" s="210"/>
      <c r="AV26" s="210" t="s">
        <v>268</v>
      </c>
      <c r="AW26" s="210">
        <f t="shared" si="18"/>
        <v>0</v>
      </c>
      <c r="AX26" s="225">
        <f t="shared" si="19"/>
        <v>0</v>
      </c>
      <c r="AY26" s="209">
        <f t="shared" si="20"/>
        <v>0</v>
      </c>
      <c r="AZ26" s="210">
        <f t="shared" si="21"/>
        <v>0</v>
      </c>
      <c r="BA26" s="210">
        <f>INDEX(pin!$D$6:$T$42,MATCH(ΥΠΟΛΟΓΙΣΜΟΙ!AY26,pin!$B$6:$B$42,0),MATCH(ΥΠΟΛΟΓΙΣΜΟΙ!AW26,pin!$D$5:$T$5,0))+0.4*(AY26-AE26)*(INDEX(pin!$D$6:$T$42,MATCH(ΥΠΟΛΟΓΙΣΜΟΙ!AY26,pin!$B$6:$B$42,0),MATCH(ΥΠΟΛΟΓΙΣΜΟΙ!AW26,pin!$D$5:$T$5,0))-INDEX(pin!$D$6:$T$42,MATCH(ΥΠΟΛΟΓΙΣΜΟΙ!AZ26,pin!$B$6:$B$42,0),MATCH(ΥΠΟΛΟΓΙΣΜΟΙ!AW26,pin!$D$5:$T$5,0)))</f>
        <v>1</v>
      </c>
      <c r="BB26" s="225">
        <f>INDEX(pin!$D$6:$T$42,MATCH(ΥΠΟΛΟΓΙΣΜΟΙ!AY26,pin!$B$6:$B$42,0),MATCH(ΥΠΟΛΟΓΙΣΜΟΙ!AX26,pin!$D$5:$T$5,0))+0.4*(AY26-AE26)*(INDEX(pin!$D$6:$T$42,MATCH(ΥΠΟΛΟΓΙΣΜΟΙ!AY26,pin!$B$6:$B$42,0),MATCH(ΥΠΟΛΟΓΙΣΜΟΙ!AX26,pin!$D$5:$T$5,0))-INDEX(pin!$D$6:$T$42,MATCH(ΥΠΟΛΟΓΙΣΜΟΙ!AZ26,pin!$B$6:$B$42,0),MATCH(ΥΠΟΛΟΓΙΣΜΟΙ!AX26,pin!$D$5:$T$5,0)))</f>
        <v>1</v>
      </c>
      <c r="BC26" s="210">
        <f>INDEX(pin!$X$6:$AN$42,MATCH(ΥΠΟΛΟΓΙΣΜΟΙ!AY26,pin!$V$6:$V$42,0),MATCH(ΥΠΟΛΟΓΙΣΜΟΙ!AW26,pin!$X$5:$AN$5,0))+0.4*(AY26-AE26)*(INDEX(pin!$X$6:$AN$42,MATCH(ΥΠΟΛΟΓΙΣΜΟΙ!AY26,pin!$V$6:$V$42,0),MATCH(ΥΠΟΛΟΓΙΣΜΟΙ!AW26,pin!$X$5:$AN$5,0))-INDEX(pin!$X$6:$AN$42,MATCH(ΥΠΟΛΟΓΙΣΜΟΙ!AZ26,pin!$V$6:$V$42,0),MATCH(ΥΠΟΛΟΓΙΣΜΟΙ!AW26,pin!$X$5:$AN$5,0)))</f>
        <v>1</v>
      </c>
      <c r="BD26" s="210">
        <f>INDEX(pin!$X$6:$AN$42,MATCH(ΥΠΟΛΟΓΙΣΜΟΙ!AY26,pin!$V$6:$V$42,0),MATCH(ΥΠΟΛΟΓΙΣΜΟΙ!AX26,pin!$X$5:$AN$5,0))+0.4*(AY26-AE26)*(INDEX(pin!$X$6:$AN$42,MATCH(ΥΠΟΛΟΓΙΣΜΟΙ!AY26,pin!$V$6:$V$42,0),MATCH(ΥΠΟΛΟΓΙΣΜΟΙ!AX26,pin!$X$5:$AN$5,0))-INDEX(pin!$X$6:$AN$42,MATCH(ΥΠΟΛΟΓΙΣΜΟΙ!AZ26,pin!$V$6:$V$42,0),MATCH(ΥΠΟΛΟΓΙΣΜΟΙ!AX26,pin!$X$5:$AN$5,0)))</f>
        <v>1</v>
      </c>
      <c r="BE26" s="209">
        <f t="shared" si="22"/>
        <v>0</v>
      </c>
      <c r="BF26" s="210">
        <f t="shared" si="23"/>
        <v>0</v>
      </c>
      <c r="BG26" s="210">
        <f>INDEX(pin!$D$48:$T$84,MATCH(ΥΠΟΛΟΓΙΣΜΟΙ!BE26,pin!$B$48:$B$84,0),MATCH(ΥΠΟΛΟΓΙΣΜΟΙ!AW26,pin!$D$47:$T$47,0))+0.4*(BE26-AF26)*(INDEX(pin!$D$48:$T$84,MATCH(ΥΠΟΛΟΓΙΣΜΟΙ!BE26,pin!$B$48:$B$84,0),MATCH(ΥΠΟΛΟΓΙΣΜΟΙ!AW26,pin!$D$47:$T$47,0))-INDEX(pin!$D$48:$T$84,MATCH(ΥΠΟΛΟΓΙΣΜΟΙ!BF26,pin!$B$48:$B$84,0),MATCH(ΥΠΟΛΟΓΙΣΜΟΙ!AW26,pin!$D$47:$T$47,0)))</f>
        <v>1</v>
      </c>
      <c r="BH26" s="210">
        <f>INDEX(pin!$D$48:$T$84,MATCH(ΥΠΟΛΟΓΙΣΜΟΙ!BE26,pin!$B$48:$B$84,0),MATCH(ΥΠΟΛΟΓΙΣΜΟΙ!AX26,pin!$D$47:$T$47,0))+0.4*(BE26-AF26)*(INDEX(pin!$D$48:$T$84,MATCH(ΥΠΟΛΟΓΙΣΜΟΙ!BE26,pin!$B$48:$B$84,0),MATCH(ΥΠΟΛΟΓΙΣΜΟΙ!AX26,pin!$D$47:$T$47,0))-INDEX(pin!$D$48:$T$84,MATCH(ΥΠΟΛΟΓΙΣΜΟΙ!BF26,pin!$B$48:$B$84,0),MATCH(ΥΠΟΛΟΓΙΣΜΟΙ!AX26,pin!$D$47:$T$47,0)))</f>
        <v>1</v>
      </c>
      <c r="BI26" s="209">
        <f>INDEX(pin!$X$48:$AN$84,MATCH(ΥΠΟΛΟΓΙΣΜΟΙ!BE26,pin!$V$48:$V$84,0),MATCH(ΥΠΟΛΟΓΙΣΜΟΙ!AW26,pin!$X$47:$AN$47,0))+0.4*(BE26-AF26)*(INDEX(pin!$X$48:$AN$84,MATCH(ΥΠΟΛΟΓΙΣΜΟΙ!BE26,pin!$V$48:$V$84,0),MATCH(ΥΠΟΛΟΓΙΣΜΟΙ!AW26,pin!$X$47:$AN$47,0))-INDEX(pin!$X$48:$AN$84,MATCH(ΥΠΟΛΟΓΙΣΜΟΙ!BF26,pin!$V$48:$V$84,0),MATCH(ΥΠΟΛΟΓΙΣΜΟΙ!AW26,pin!$X$47:$AN$47,0)))</f>
        <v>1</v>
      </c>
      <c r="BJ26" s="225">
        <f>INDEX(pin!$X$48:$AN$84,MATCH(ΥΠΟΛΟΓΙΣΜΟΙ!BE26,pin!$V$48:$V$84,0),MATCH(ΥΠΟΛΟΓΙΣΜΟΙ!AX26,pin!$X$47:$AN$47,0))+0.4*(BE26-AF26)*(INDEX(pin!$X$48:$AN$84,MATCH(ΥΠΟΛΟΓΙΣΜΟΙ!BE26,pin!$V$48:$V$84,0),MATCH(ΥΠΟΛΟΓΙΣΜΟΙ!AX26,pin!$X$47:$AN$47,0))-INDEX(pin!$X$48:$AN$84,MATCH(ΥΠΟΛΟΓΙΣΜΟΙ!BF26,pin!$V$48:$V$84,0),MATCH(ΥΠΟΛΟΓΙΣΜΟΙ!AX26,pin!$X$47:$AN$47,0)))</f>
        <v>1</v>
      </c>
      <c r="BK26" s="209">
        <f t="shared" si="24"/>
        <v>0</v>
      </c>
      <c r="BL26" s="210">
        <f t="shared" si="25"/>
        <v>0</v>
      </c>
      <c r="BM26" s="210">
        <f>INDEX(pin!$X$48:$AN$84,MATCH(ΥΠΟΛΟΓΙΣΜΟΙ!BK26,pin!$V$48:$V$84,0),MATCH(ΥΠΟΛΟΓΙΣΜΟΙ!AW26,pin!$X$47:$AN$47,0))+0.4*(BK26-AG26)*(INDEX(pin!$X$48:$AN$84,MATCH(ΥΠΟΛΟΓΙΣΜΟΙ!BK26,pin!$V$48:$V$84,0),MATCH(ΥΠΟΛΟΓΙΣΜΟΙ!AW26,pin!$X$47:$AN$47,0))-INDEX(pin!$X$48:$AN$84,MATCH(ΥΠΟΛΟΓΙΣΜΟΙ!BL26,pin!$V$48:$V$84,0),MATCH(ΥΠΟΛΟΓΙΣΜΟΙ!AW26,pin!$X$47:$AN$47,0)))</f>
        <v>1</v>
      </c>
      <c r="BN26" s="225">
        <f>INDEX(pin!$X$48:$AN$84,MATCH(ΥΠΟΛΟΓΙΣΜΟΙ!BK26,pin!$V$48:$V$84,0),MATCH(ΥΠΟΛΟΓΙΣΜΟΙ!AX26,pin!$X$47:$AN$47,0))+0.4*(BK26-AG26)*(INDEX(pin!$X$48:$AN$84,MATCH(ΥΠΟΛΟΓΙΣΜΟΙ!BK26,pin!$V$48:$V$84,0),MATCH(ΥΠΟΛΟΓΙΣΜΟΙ!AX26,pin!$X$47:$AN$47,0))-INDEX(pin!$X$48:$AN$84,MATCH(ΥΠΟΛΟΓΙΣΜΟΙ!BL26,pin!$V$48:$V$84,0),MATCH(ΥΠΟΛΟΓΙΣΜΟΙ!AX26,pin!$X$47:$AN$47,0)))</f>
        <v>1</v>
      </c>
      <c r="BO26" s="209">
        <f t="shared" si="26"/>
        <v>0</v>
      </c>
      <c r="BP26" s="210">
        <f t="shared" si="27"/>
        <v>0</v>
      </c>
      <c r="BQ26" s="210">
        <f>INDEX(pin!$D$114:$T$132,MATCH(ΥΠΟΛΟΓΙΣΜΟΙ!BO26,pin!$B$114:$B$132,0),MATCH(ΥΠΟΛΟΓΙΣΜΟΙ!AW26,pin!$D$113:$T$113,0))+0.2*(BO26-AH26)*(INDEX(pin!$D$114:$T$132,MATCH(ΥΠΟΛΟΓΙΣΜΟΙ!BO26,pin!$B$114:$B$132,0),MATCH(ΥΠΟΛΟΓΙΣΜΟΙ!AW26,pin!$D$113:$T$113,0))-INDEX(pin!$D$114:$T$132,MATCH(ΥΠΟΛΟΓΙΣΜΟΙ!BP26,pin!$B$114:$B$132,0),MATCH(ΥΠΟΛΟΓΙΣΜΟΙ!AW26,pin!$D$113:$T$113,0)))</f>
        <v>1</v>
      </c>
      <c r="BR26" s="210">
        <f>INDEX(pin!$D$114:$T$132,MATCH(ΥΠΟΛΟΓΙΣΜΟΙ!BO26,pin!$B$114:$B$132,0),MATCH(ΥΠΟΛΟΓΙΣΜΟΙ!AX26,pin!$D$113:$T$113,0))+0.2*(BO26-AH26)*(INDEX(pin!$D$114:$T$132,MATCH(ΥΠΟΛΟΓΙΣΜΟΙ!BO26,pin!$B$114:$B$132,0),MATCH(ΥΠΟΛΟΓΙΣΜΟΙ!AX26,pin!$D$113:$T$113,0))-INDEX(pin!$D$114:$T$132,MATCH(ΥΠΟΛΟΓΙΣΜΟΙ!BP26,pin!$B$114:$B$132,0),MATCH(ΥΠΟΛΟΓΙΣΜΟΙ!AX26,pin!$D$113:$T$113,0)))</f>
        <v>1</v>
      </c>
      <c r="BS26" s="209">
        <f>INDEX(pin!$X$114:$AN$132,MATCH(ΥΠΟΛΟΓΙΣΜΟΙ!BO26,pin!$V$114:$V$132,0),MATCH(ΥΠΟΛΟΓΙΣΜΟΙ!AW26,pin!$X$113:$AN$113,0))+0.2*(BO26-AH26)*(INDEX(pin!$X$114:$AN$132,MATCH(ΥΠΟΛΟΓΙΣΜΟΙ!BO26,pin!$V$114:$V$132,0),MATCH(ΥΠΟΛΟΓΙΣΜΟΙ!AW26,pin!$X$113:$AN$113,0))-INDEX(pin!$X$114:$AN$132,MATCH(ΥΠΟΛΟΓΙΣΜΟΙ!BP26,pin!$V$114:$V$132,0),MATCH(ΥΠΟΛΟΓΙΣΜΟΙ!AW26,pin!$X$113:$AN$113,0)))</f>
        <v>1</v>
      </c>
      <c r="BT26" s="225">
        <f>INDEX(pin!$X$114:$AN$132,MATCH(ΥΠΟΛΟΓΙΣΜΟΙ!BO26,pin!$V$114:$V$132,0),MATCH(ΥΠΟΛΟΓΙΣΜΟΙ!AX26,pin!$X$113:$AN$113,0))+0.2*(BO26-AH26)*(INDEX(pin!$X$114:$AN$132,MATCH(ΥΠΟΛΟΓΙΣΜΟΙ!BO26,pin!$V$114:$V$132,0),MATCH(ΥΠΟΛΟΓΙΣΜΟΙ!AX26,pin!$X$113:$AN$113,0))-INDEX(pin!$X$114:$AN$132,MATCH(ΥΠΟΛΟΓΙΣΜΟΙ!BP26,pin!$V$114:$V$132,0),MATCH(ΥΠΟΛΟΓΙΣΜΟΙ!AX26,pin!$X$113:$AN$113,0)))</f>
        <v>1</v>
      </c>
      <c r="BU26" s="209">
        <f t="shared" si="28"/>
        <v>0</v>
      </c>
      <c r="BV26" s="210">
        <f t="shared" si="29"/>
        <v>0</v>
      </c>
      <c r="BW26" s="210">
        <f>INDEX(pin!$D$90:$T$108,MATCH(ΥΠΟΛΟΓΙΣΜΟΙ!BU26,pin!$B$90:$B$108,0),MATCH(ΥΠΟΛΟΓΙΣΜΟΙ!AW26,pin!$D$89:$T$89,0))+0.2*(BU26-AI26)*(INDEX(pin!$D$90:$T$108,MATCH(ΥΠΟΛΟΓΙΣΜΟΙ!BU26,pin!$B$90:$B$108,0),MATCH(ΥΠΟΛΟΓΙΣΜΟΙ!AW26,pin!$D$89:$T$89,0))-INDEX(pin!$D$90:$T$108,MATCH(ΥΠΟΛΟΓΙΣΜΟΙ!BV26,pin!$B$90:$B$108,0),MATCH(ΥΠΟΛΟΓΙΣΜΟΙ!AW26,pin!$D$89:$T$89,0)))</f>
        <v>1</v>
      </c>
      <c r="BX26" s="225">
        <f>INDEX(pin!$D$90:$T$108,MATCH(ΥΠΟΛΟΓΙΣΜΟΙ!BU26,pin!$B$90:$B$108,0),MATCH(ΥΠΟΛΟΓΙΣΜΟΙ!AX26,pin!$D$89:$T$89,0))+0.2*(BU26-AI26)*(INDEX(pin!$D$90:$T$108,MATCH(ΥΠΟΛΟΓΙΣΜΟΙ!BU26,pin!$B$90:$B$108,0),MATCH(ΥΠΟΛΟΓΙΣΜΟΙ!AX26,pin!$D$89:$T$89,0))-INDEX(pin!$D$90:$T$108,MATCH(ΥΠΟΛΟΓΙΣΜΟΙ!BV26,pin!$B$90:$B$108,0),MATCH(ΥΠΟΛΟΓΙΣΜΟΙ!AX26,pin!$D$89:$T$89,0)))</f>
        <v>1</v>
      </c>
      <c r="BY26" s="210">
        <f>INDEX(pin!$X$90:$AN$108,MATCH(ΥΠΟΛΟΓΙΣΜΟΙ!BU26,pin!$V$90:$V$108,0),MATCH(ΥΠΟΛΟΓΙΣΜΟΙ!AW26,pin!$X$89:$AN$89,0))+0.2*(BU26-AI26)*(INDEX(pin!$X$90:$AN$108,MATCH(ΥΠΟΛΟΓΙΣΜΟΙ!BU26,pin!$V$90:$V$108,0),MATCH(ΥΠΟΛΟΓΙΣΜΟΙ!AW26,pin!$X$89:$AN$89,0))-INDEX(pin!$X$90:$AN$108,MATCH(ΥΠΟΛΟΓΙΣΜΟΙ!BV26,pin!$V$90:$V$108,0),MATCH(ΥΠΟΛΟΓΙΣΜΟΙ!AW26,pin!$X$89:$AN$89,0)))</f>
        <v>1</v>
      </c>
      <c r="BZ26" s="225">
        <f>INDEX(pin!$X$90:$AN$108,MATCH(ΥΠΟΛΟΓΙΣΜΟΙ!BU26,pin!$V$90:$V$108,0),MATCH(ΥΠΟΛΟΓΙΣΜΟΙ!AX26,pin!$X$89:$AN$89,0))+0.2*(BU26-AI26)*(INDEX(pin!$X$90:$AN$108,MATCH(ΥΠΟΛΟΓΙΣΜΟΙ!BU26,pin!$V$90:$V$108,0),MATCH(ΥΠΟΛΟΓΙΣΜΟΙ!AX26,pin!$X$89:$AN$89,0))-INDEX(pin!$X$90:$AN$108,MATCH(ΥΠΟΛΟΓΙΣΜΟΙ!BV26,pin!$V$90:$V$108,0),MATCH(ΥΠΟΛΟΓΙΣΜΟΙ!AX26,pin!$X$89:$AN$89,0)))</f>
        <v>1</v>
      </c>
      <c r="CA26" s="213"/>
      <c r="DI26" s="261"/>
    </row>
    <row r="27" spans="1:113">
      <c r="A27" s="56">
        <v>10</v>
      </c>
      <c r="B27" s="128"/>
      <c r="C27" s="126"/>
      <c r="D27" s="126"/>
      <c r="E27" s="47" t="str">
        <f t="shared" si="1"/>
        <v>-</v>
      </c>
      <c r="F27" s="126"/>
      <c r="G27" s="269" t="str">
        <f t="shared" si="2"/>
        <v>-</v>
      </c>
      <c r="H27" s="270"/>
      <c r="I27" s="126"/>
      <c r="J27" s="126"/>
      <c r="K27" s="265" t="str">
        <f t="shared" si="3"/>
        <v>-</v>
      </c>
      <c r="L27" s="264"/>
      <c r="M27" s="129"/>
      <c r="N27" s="200" t="str">
        <f>IF(L27="","-",IFERROR(IF(C27&lt;0,"-",INDEX(pin!$AR$6:$AR$22,MATCH(MROUND(ΥΠΟΛΟΓΙΣΜΟΙ!L27,22.5),pin!$AQ$6:$AQ$22))),"-"))</f>
        <v>-</v>
      </c>
      <c r="O27" s="46">
        <f t="shared" si="4"/>
        <v>1</v>
      </c>
      <c r="P27" s="130">
        <f t="shared" si="30"/>
        <v>1</v>
      </c>
      <c r="Q27" s="46">
        <f t="shared" si="5"/>
        <v>1</v>
      </c>
      <c r="R27" s="130">
        <f t="shared" si="6"/>
        <v>1</v>
      </c>
      <c r="S27" s="46">
        <f t="shared" si="7"/>
        <v>1</v>
      </c>
      <c r="T27" s="130">
        <f t="shared" si="8"/>
        <v>1</v>
      </c>
      <c r="U27" s="131"/>
      <c r="V27" s="132"/>
      <c r="W27" s="126"/>
      <c r="X27" s="127"/>
      <c r="Y27" s="182"/>
      <c r="Z27" s="132"/>
      <c r="AA27" s="126"/>
      <c r="AB27" s="126"/>
      <c r="AC27" s="131"/>
      <c r="AD27" s="127"/>
      <c r="AE27" s="226">
        <f t="shared" si="0"/>
        <v>0</v>
      </c>
      <c r="AF27" s="202">
        <f t="shared" si="9"/>
        <v>0</v>
      </c>
      <c r="AG27" s="202">
        <f t="shared" si="10"/>
        <v>0</v>
      </c>
      <c r="AH27" s="202">
        <f t="shared" si="11"/>
        <v>0</v>
      </c>
      <c r="AI27" s="202">
        <f t="shared" si="12"/>
        <v>0</v>
      </c>
      <c r="AJ27" s="203">
        <f t="shared" si="13"/>
        <v>1</v>
      </c>
      <c r="AK27" s="203">
        <f t="shared" si="14"/>
        <v>1</v>
      </c>
      <c r="AL27" s="203">
        <f t="shared" si="15"/>
        <v>1</v>
      </c>
      <c r="AM27" s="203">
        <f t="shared" si="16"/>
        <v>1</v>
      </c>
      <c r="AN27" s="209">
        <f t="shared" si="17"/>
        <v>0</v>
      </c>
      <c r="AO27" s="210"/>
      <c r="AP27" s="210"/>
      <c r="AQ27" s="210"/>
      <c r="AR27" s="210"/>
      <c r="AS27" s="210"/>
      <c r="AT27" s="210"/>
      <c r="AU27" s="210"/>
      <c r="AV27" s="210" t="s">
        <v>268</v>
      </c>
      <c r="AW27" s="210">
        <f t="shared" si="18"/>
        <v>0</v>
      </c>
      <c r="AX27" s="225">
        <f t="shared" si="19"/>
        <v>0</v>
      </c>
      <c r="AY27" s="209">
        <f t="shared" si="20"/>
        <v>0</v>
      </c>
      <c r="AZ27" s="210">
        <f t="shared" si="21"/>
        <v>0</v>
      </c>
      <c r="BA27" s="210">
        <f>INDEX(pin!$D$6:$T$42,MATCH(ΥΠΟΛΟΓΙΣΜΟΙ!AY27,pin!$B$6:$B$42,0),MATCH(ΥΠΟΛΟΓΙΣΜΟΙ!AW27,pin!$D$5:$T$5,0))+0.4*(AY27-AE27)*(INDEX(pin!$D$6:$T$42,MATCH(ΥΠΟΛΟΓΙΣΜΟΙ!AY27,pin!$B$6:$B$42,0),MATCH(ΥΠΟΛΟΓΙΣΜΟΙ!AW27,pin!$D$5:$T$5,0))-INDEX(pin!$D$6:$T$42,MATCH(ΥΠΟΛΟΓΙΣΜΟΙ!AZ27,pin!$B$6:$B$42,0),MATCH(ΥΠΟΛΟΓΙΣΜΟΙ!AW27,pin!$D$5:$T$5,0)))</f>
        <v>1</v>
      </c>
      <c r="BB27" s="225">
        <f>INDEX(pin!$D$6:$T$42,MATCH(ΥΠΟΛΟΓΙΣΜΟΙ!AY27,pin!$B$6:$B$42,0),MATCH(ΥΠΟΛΟΓΙΣΜΟΙ!AX27,pin!$D$5:$T$5,0))+0.4*(AY27-AE27)*(INDEX(pin!$D$6:$T$42,MATCH(ΥΠΟΛΟΓΙΣΜΟΙ!AY27,pin!$B$6:$B$42,0),MATCH(ΥΠΟΛΟΓΙΣΜΟΙ!AX27,pin!$D$5:$T$5,0))-INDEX(pin!$D$6:$T$42,MATCH(ΥΠΟΛΟΓΙΣΜΟΙ!AZ27,pin!$B$6:$B$42,0),MATCH(ΥΠΟΛΟΓΙΣΜΟΙ!AX27,pin!$D$5:$T$5,0)))</f>
        <v>1</v>
      </c>
      <c r="BC27" s="210">
        <f>INDEX(pin!$X$6:$AN$42,MATCH(ΥΠΟΛΟΓΙΣΜΟΙ!AY27,pin!$V$6:$V$42,0),MATCH(ΥΠΟΛΟΓΙΣΜΟΙ!AW27,pin!$X$5:$AN$5,0))+0.4*(AY27-AE27)*(INDEX(pin!$X$6:$AN$42,MATCH(ΥΠΟΛΟΓΙΣΜΟΙ!AY27,pin!$V$6:$V$42,0),MATCH(ΥΠΟΛΟΓΙΣΜΟΙ!AW27,pin!$X$5:$AN$5,0))-INDEX(pin!$X$6:$AN$42,MATCH(ΥΠΟΛΟΓΙΣΜΟΙ!AZ27,pin!$V$6:$V$42,0),MATCH(ΥΠΟΛΟΓΙΣΜΟΙ!AW27,pin!$X$5:$AN$5,0)))</f>
        <v>1</v>
      </c>
      <c r="BD27" s="210">
        <f>INDEX(pin!$X$6:$AN$42,MATCH(ΥΠΟΛΟΓΙΣΜΟΙ!AY27,pin!$V$6:$V$42,0),MATCH(ΥΠΟΛΟΓΙΣΜΟΙ!AX27,pin!$X$5:$AN$5,0))+0.4*(AY27-AE27)*(INDEX(pin!$X$6:$AN$42,MATCH(ΥΠΟΛΟΓΙΣΜΟΙ!AY27,pin!$V$6:$V$42,0),MATCH(ΥΠΟΛΟΓΙΣΜΟΙ!AX27,pin!$X$5:$AN$5,0))-INDEX(pin!$X$6:$AN$42,MATCH(ΥΠΟΛΟΓΙΣΜΟΙ!AZ27,pin!$V$6:$V$42,0),MATCH(ΥΠΟΛΟΓΙΣΜΟΙ!AX27,pin!$X$5:$AN$5,0)))</f>
        <v>1</v>
      </c>
      <c r="BE27" s="209">
        <f t="shared" si="22"/>
        <v>0</v>
      </c>
      <c r="BF27" s="210">
        <f t="shared" si="23"/>
        <v>0</v>
      </c>
      <c r="BG27" s="210">
        <f>INDEX(pin!$D$48:$T$84,MATCH(ΥΠΟΛΟΓΙΣΜΟΙ!BE27,pin!$B$48:$B$84,0),MATCH(ΥΠΟΛΟΓΙΣΜΟΙ!AW27,pin!$D$47:$T$47,0))+0.4*(BE27-AF27)*(INDEX(pin!$D$48:$T$84,MATCH(ΥΠΟΛΟΓΙΣΜΟΙ!BE27,pin!$B$48:$B$84,0),MATCH(ΥΠΟΛΟΓΙΣΜΟΙ!AW27,pin!$D$47:$T$47,0))-INDEX(pin!$D$48:$T$84,MATCH(ΥΠΟΛΟΓΙΣΜΟΙ!BF27,pin!$B$48:$B$84,0),MATCH(ΥΠΟΛΟΓΙΣΜΟΙ!AW27,pin!$D$47:$T$47,0)))</f>
        <v>1</v>
      </c>
      <c r="BH27" s="210">
        <f>INDEX(pin!$D$48:$T$84,MATCH(ΥΠΟΛΟΓΙΣΜΟΙ!BE27,pin!$B$48:$B$84,0),MATCH(ΥΠΟΛΟΓΙΣΜΟΙ!AX27,pin!$D$47:$T$47,0))+0.4*(BE27-AF27)*(INDEX(pin!$D$48:$T$84,MATCH(ΥΠΟΛΟΓΙΣΜΟΙ!BE27,pin!$B$48:$B$84,0),MATCH(ΥΠΟΛΟΓΙΣΜΟΙ!AX27,pin!$D$47:$T$47,0))-INDEX(pin!$D$48:$T$84,MATCH(ΥΠΟΛΟΓΙΣΜΟΙ!BF27,pin!$B$48:$B$84,0),MATCH(ΥΠΟΛΟΓΙΣΜΟΙ!AX27,pin!$D$47:$T$47,0)))</f>
        <v>1</v>
      </c>
      <c r="BI27" s="209">
        <f>INDEX(pin!$X$48:$AN$84,MATCH(ΥΠΟΛΟΓΙΣΜΟΙ!BE27,pin!$V$48:$V$84,0),MATCH(ΥΠΟΛΟΓΙΣΜΟΙ!AW27,pin!$X$47:$AN$47,0))+0.4*(BE27-AF27)*(INDEX(pin!$X$48:$AN$84,MATCH(ΥΠΟΛΟΓΙΣΜΟΙ!BE27,pin!$V$48:$V$84,0),MATCH(ΥΠΟΛΟΓΙΣΜΟΙ!AW27,pin!$X$47:$AN$47,0))-INDEX(pin!$X$48:$AN$84,MATCH(ΥΠΟΛΟΓΙΣΜΟΙ!BF27,pin!$V$48:$V$84,0),MATCH(ΥΠΟΛΟΓΙΣΜΟΙ!AW27,pin!$X$47:$AN$47,0)))</f>
        <v>1</v>
      </c>
      <c r="BJ27" s="225">
        <f>INDEX(pin!$X$48:$AN$84,MATCH(ΥΠΟΛΟΓΙΣΜΟΙ!BE27,pin!$V$48:$V$84,0),MATCH(ΥΠΟΛΟΓΙΣΜΟΙ!AX27,pin!$X$47:$AN$47,0))+0.4*(BE27-AF27)*(INDEX(pin!$X$48:$AN$84,MATCH(ΥΠΟΛΟΓΙΣΜΟΙ!BE27,pin!$V$48:$V$84,0),MATCH(ΥΠΟΛΟΓΙΣΜΟΙ!AX27,pin!$X$47:$AN$47,0))-INDEX(pin!$X$48:$AN$84,MATCH(ΥΠΟΛΟΓΙΣΜΟΙ!BF27,pin!$V$48:$V$84,0),MATCH(ΥΠΟΛΟΓΙΣΜΟΙ!AX27,pin!$X$47:$AN$47,0)))</f>
        <v>1</v>
      </c>
      <c r="BK27" s="209">
        <f t="shared" si="24"/>
        <v>0</v>
      </c>
      <c r="BL27" s="210">
        <f t="shared" si="25"/>
        <v>0</v>
      </c>
      <c r="BM27" s="210">
        <f>INDEX(pin!$X$48:$AN$84,MATCH(ΥΠΟΛΟΓΙΣΜΟΙ!BK27,pin!$V$48:$V$84,0),MATCH(ΥΠΟΛΟΓΙΣΜΟΙ!AW27,pin!$X$47:$AN$47,0))+0.4*(BK27-AG27)*(INDEX(pin!$X$48:$AN$84,MATCH(ΥΠΟΛΟΓΙΣΜΟΙ!BK27,pin!$V$48:$V$84,0),MATCH(ΥΠΟΛΟΓΙΣΜΟΙ!AW27,pin!$X$47:$AN$47,0))-INDEX(pin!$X$48:$AN$84,MATCH(ΥΠΟΛΟΓΙΣΜΟΙ!BL27,pin!$V$48:$V$84,0),MATCH(ΥΠΟΛΟΓΙΣΜΟΙ!AW27,pin!$X$47:$AN$47,0)))</f>
        <v>1</v>
      </c>
      <c r="BN27" s="225">
        <f>INDEX(pin!$X$48:$AN$84,MATCH(ΥΠΟΛΟΓΙΣΜΟΙ!BK27,pin!$V$48:$V$84,0),MATCH(ΥΠΟΛΟΓΙΣΜΟΙ!AX27,pin!$X$47:$AN$47,0))+0.4*(BK27-AG27)*(INDEX(pin!$X$48:$AN$84,MATCH(ΥΠΟΛΟΓΙΣΜΟΙ!BK27,pin!$V$48:$V$84,0),MATCH(ΥΠΟΛΟΓΙΣΜΟΙ!AX27,pin!$X$47:$AN$47,0))-INDEX(pin!$X$48:$AN$84,MATCH(ΥΠΟΛΟΓΙΣΜΟΙ!BL27,pin!$V$48:$V$84,0),MATCH(ΥΠΟΛΟΓΙΣΜΟΙ!AX27,pin!$X$47:$AN$47,0)))</f>
        <v>1</v>
      </c>
      <c r="BO27" s="209">
        <f t="shared" si="26"/>
        <v>0</v>
      </c>
      <c r="BP27" s="210">
        <f t="shared" si="27"/>
        <v>0</v>
      </c>
      <c r="BQ27" s="210">
        <f>INDEX(pin!$D$114:$T$132,MATCH(ΥΠΟΛΟΓΙΣΜΟΙ!BO27,pin!$B$114:$B$132,0),MATCH(ΥΠΟΛΟΓΙΣΜΟΙ!AW27,pin!$D$113:$T$113,0))+0.2*(BO27-AH27)*(INDEX(pin!$D$114:$T$132,MATCH(ΥΠΟΛΟΓΙΣΜΟΙ!BO27,pin!$B$114:$B$132,0),MATCH(ΥΠΟΛΟΓΙΣΜΟΙ!AW27,pin!$D$113:$T$113,0))-INDEX(pin!$D$114:$T$132,MATCH(ΥΠΟΛΟΓΙΣΜΟΙ!BP27,pin!$B$114:$B$132,0),MATCH(ΥΠΟΛΟΓΙΣΜΟΙ!AW27,pin!$D$113:$T$113,0)))</f>
        <v>1</v>
      </c>
      <c r="BR27" s="210">
        <f>INDEX(pin!$D$114:$T$132,MATCH(ΥΠΟΛΟΓΙΣΜΟΙ!BO27,pin!$B$114:$B$132,0),MATCH(ΥΠΟΛΟΓΙΣΜΟΙ!AX27,pin!$D$113:$T$113,0))+0.2*(BO27-AH27)*(INDEX(pin!$D$114:$T$132,MATCH(ΥΠΟΛΟΓΙΣΜΟΙ!BO27,pin!$B$114:$B$132,0),MATCH(ΥΠΟΛΟΓΙΣΜΟΙ!AX27,pin!$D$113:$T$113,0))-INDEX(pin!$D$114:$T$132,MATCH(ΥΠΟΛΟΓΙΣΜΟΙ!BP27,pin!$B$114:$B$132,0),MATCH(ΥΠΟΛΟΓΙΣΜΟΙ!AX27,pin!$D$113:$T$113,0)))</f>
        <v>1</v>
      </c>
      <c r="BS27" s="209">
        <f>INDEX(pin!$X$114:$AN$132,MATCH(ΥΠΟΛΟΓΙΣΜΟΙ!BO27,pin!$V$114:$V$132,0),MATCH(ΥΠΟΛΟΓΙΣΜΟΙ!AW27,pin!$X$113:$AN$113,0))+0.2*(BO27-AH27)*(INDEX(pin!$X$114:$AN$132,MATCH(ΥΠΟΛΟΓΙΣΜΟΙ!BO27,pin!$V$114:$V$132,0),MATCH(ΥΠΟΛΟΓΙΣΜΟΙ!AW27,pin!$X$113:$AN$113,0))-INDEX(pin!$X$114:$AN$132,MATCH(ΥΠΟΛΟΓΙΣΜΟΙ!BP27,pin!$V$114:$V$132,0),MATCH(ΥΠΟΛΟΓΙΣΜΟΙ!AW27,pin!$X$113:$AN$113,0)))</f>
        <v>1</v>
      </c>
      <c r="BT27" s="225">
        <f>INDEX(pin!$X$114:$AN$132,MATCH(ΥΠΟΛΟΓΙΣΜΟΙ!BO27,pin!$V$114:$V$132,0),MATCH(ΥΠΟΛΟΓΙΣΜΟΙ!AX27,pin!$X$113:$AN$113,0))+0.2*(BO27-AH27)*(INDEX(pin!$X$114:$AN$132,MATCH(ΥΠΟΛΟΓΙΣΜΟΙ!BO27,pin!$V$114:$V$132,0),MATCH(ΥΠΟΛΟΓΙΣΜΟΙ!AX27,pin!$X$113:$AN$113,0))-INDEX(pin!$X$114:$AN$132,MATCH(ΥΠΟΛΟΓΙΣΜΟΙ!BP27,pin!$V$114:$V$132,0),MATCH(ΥΠΟΛΟΓΙΣΜΟΙ!AX27,pin!$X$113:$AN$113,0)))</f>
        <v>1</v>
      </c>
      <c r="BU27" s="209">
        <f t="shared" si="28"/>
        <v>0</v>
      </c>
      <c r="BV27" s="210">
        <f t="shared" si="29"/>
        <v>0</v>
      </c>
      <c r="BW27" s="210">
        <f>INDEX(pin!$D$90:$T$108,MATCH(ΥΠΟΛΟΓΙΣΜΟΙ!BU27,pin!$B$90:$B$108,0),MATCH(ΥΠΟΛΟΓΙΣΜΟΙ!AW27,pin!$D$89:$T$89,0))+0.2*(BU27-AI27)*(INDEX(pin!$D$90:$T$108,MATCH(ΥΠΟΛΟΓΙΣΜΟΙ!BU27,pin!$B$90:$B$108,0),MATCH(ΥΠΟΛΟΓΙΣΜΟΙ!AW27,pin!$D$89:$T$89,0))-INDEX(pin!$D$90:$T$108,MATCH(ΥΠΟΛΟΓΙΣΜΟΙ!BV27,pin!$B$90:$B$108,0),MATCH(ΥΠΟΛΟΓΙΣΜΟΙ!AW27,pin!$D$89:$T$89,0)))</f>
        <v>1</v>
      </c>
      <c r="BX27" s="225">
        <f>INDEX(pin!$D$90:$T$108,MATCH(ΥΠΟΛΟΓΙΣΜΟΙ!BU27,pin!$B$90:$B$108,0),MATCH(ΥΠΟΛΟΓΙΣΜΟΙ!AX27,pin!$D$89:$T$89,0))+0.2*(BU27-AI27)*(INDEX(pin!$D$90:$T$108,MATCH(ΥΠΟΛΟΓΙΣΜΟΙ!BU27,pin!$B$90:$B$108,0),MATCH(ΥΠΟΛΟΓΙΣΜΟΙ!AX27,pin!$D$89:$T$89,0))-INDEX(pin!$D$90:$T$108,MATCH(ΥΠΟΛΟΓΙΣΜΟΙ!BV27,pin!$B$90:$B$108,0),MATCH(ΥΠΟΛΟΓΙΣΜΟΙ!AX27,pin!$D$89:$T$89,0)))</f>
        <v>1</v>
      </c>
      <c r="BY27" s="210">
        <f>INDEX(pin!$X$90:$AN$108,MATCH(ΥΠΟΛΟΓΙΣΜΟΙ!BU27,pin!$V$90:$V$108,0),MATCH(ΥΠΟΛΟΓΙΣΜΟΙ!AW27,pin!$X$89:$AN$89,0))+0.2*(BU27-AI27)*(INDEX(pin!$X$90:$AN$108,MATCH(ΥΠΟΛΟΓΙΣΜΟΙ!BU27,pin!$V$90:$V$108,0),MATCH(ΥΠΟΛΟΓΙΣΜΟΙ!AW27,pin!$X$89:$AN$89,0))-INDEX(pin!$X$90:$AN$108,MATCH(ΥΠΟΛΟΓΙΣΜΟΙ!BV27,pin!$V$90:$V$108,0),MATCH(ΥΠΟΛΟΓΙΣΜΟΙ!AW27,pin!$X$89:$AN$89,0)))</f>
        <v>1</v>
      </c>
      <c r="BZ27" s="225">
        <f>INDEX(pin!$X$90:$AN$108,MATCH(ΥΠΟΛΟΓΙΣΜΟΙ!BU27,pin!$V$90:$V$108,0),MATCH(ΥΠΟΛΟΓΙΣΜΟΙ!AX27,pin!$X$89:$AN$89,0))+0.2*(BU27-AI27)*(INDEX(pin!$X$90:$AN$108,MATCH(ΥΠΟΛΟΓΙΣΜΟΙ!BU27,pin!$V$90:$V$108,0),MATCH(ΥΠΟΛΟΓΙΣΜΟΙ!AX27,pin!$X$89:$AN$89,0))-INDEX(pin!$X$90:$AN$108,MATCH(ΥΠΟΛΟΓΙΣΜΟΙ!BV27,pin!$V$90:$V$108,0),MATCH(ΥΠΟΛΟΓΙΣΜΟΙ!AX27,pin!$X$89:$AN$89,0)))</f>
        <v>1</v>
      </c>
      <c r="CA27" s="213"/>
      <c r="DI27" s="261"/>
    </row>
    <row r="28" spans="1:113">
      <c r="A28" s="56">
        <v>11</v>
      </c>
      <c r="B28" s="128"/>
      <c r="C28" s="126"/>
      <c r="D28" s="126"/>
      <c r="E28" s="47" t="str">
        <f t="shared" si="1"/>
        <v>-</v>
      </c>
      <c r="F28" s="126"/>
      <c r="G28" s="269" t="str">
        <f t="shared" si="2"/>
        <v>-</v>
      </c>
      <c r="H28" s="270"/>
      <c r="I28" s="126"/>
      <c r="J28" s="126"/>
      <c r="K28" s="265" t="str">
        <f t="shared" si="3"/>
        <v>-</v>
      </c>
      <c r="L28" s="264"/>
      <c r="M28" s="129"/>
      <c r="N28" s="200" t="str">
        <f>IF(L28="","-",IFERROR(IF(C28&lt;0,"-",INDEX(pin!$AR$6:$AR$22,MATCH(MROUND(ΥΠΟΛΟΓΙΣΜΟΙ!L28,22.5),pin!$AQ$6:$AQ$22))),"-"))</f>
        <v>-</v>
      </c>
      <c r="O28" s="46">
        <f t="shared" si="4"/>
        <v>1</v>
      </c>
      <c r="P28" s="130">
        <f t="shared" si="30"/>
        <v>1</v>
      </c>
      <c r="Q28" s="46">
        <f t="shared" si="5"/>
        <v>1</v>
      </c>
      <c r="R28" s="130">
        <f t="shared" si="6"/>
        <v>1</v>
      </c>
      <c r="S28" s="46">
        <f t="shared" si="7"/>
        <v>1</v>
      </c>
      <c r="T28" s="130">
        <f t="shared" si="8"/>
        <v>1</v>
      </c>
      <c r="U28" s="131"/>
      <c r="V28" s="132"/>
      <c r="W28" s="126"/>
      <c r="X28" s="127"/>
      <c r="Y28" s="182"/>
      <c r="Z28" s="132"/>
      <c r="AA28" s="126"/>
      <c r="AB28" s="126"/>
      <c r="AC28" s="131"/>
      <c r="AD28" s="127"/>
      <c r="AE28" s="226">
        <f t="shared" si="0"/>
        <v>0</v>
      </c>
      <c r="AF28" s="202">
        <f t="shared" si="9"/>
        <v>0</v>
      </c>
      <c r="AG28" s="202">
        <f t="shared" si="10"/>
        <v>0</v>
      </c>
      <c r="AH28" s="202">
        <f t="shared" si="11"/>
        <v>0</v>
      </c>
      <c r="AI28" s="202">
        <f t="shared" si="12"/>
        <v>0</v>
      </c>
      <c r="AJ28" s="203">
        <f t="shared" si="13"/>
        <v>1</v>
      </c>
      <c r="AK28" s="203">
        <f t="shared" si="14"/>
        <v>1</v>
      </c>
      <c r="AL28" s="203">
        <f t="shared" si="15"/>
        <v>1</v>
      </c>
      <c r="AM28" s="203">
        <f t="shared" si="16"/>
        <v>1</v>
      </c>
      <c r="AN28" s="209">
        <f t="shared" si="17"/>
        <v>0</v>
      </c>
      <c r="AO28" s="210"/>
      <c r="AP28" s="210"/>
      <c r="AQ28" s="210"/>
      <c r="AR28" s="210"/>
      <c r="AS28" s="210"/>
      <c r="AT28" s="210"/>
      <c r="AU28" s="210"/>
      <c r="AV28" s="210" t="s">
        <v>268</v>
      </c>
      <c r="AW28" s="210">
        <f t="shared" si="18"/>
        <v>0</v>
      </c>
      <c r="AX28" s="225">
        <f t="shared" si="19"/>
        <v>0</v>
      </c>
      <c r="AY28" s="209">
        <f t="shared" si="20"/>
        <v>0</v>
      </c>
      <c r="AZ28" s="210">
        <f t="shared" si="21"/>
        <v>0</v>
      </c>
      <c r="BA28" s="210">
        <f>INDEX(pin!$D$6:$T$42,MATCH(ΥΠΟΛΟΓΙΣΜΟΙ!AY28,pin!$B$6:$B$42,0),MATCH(ΥΠΟΛΟΓΙΣΜΟΙ!AW28,pin!$D$5:$T$5,0))+0.4*(AY28-AE28)*(INDEX(pin!$D$6:$T$42,MATCH(ΥΠΟΛΟΓΙΣΜΟΙ!AY28,pin!$B$6:$B$42,0),MATCH(ΥΠΟΛΟΓΙΣΜΟΙ!AW28,pin!$D$5:$T$5,0))-INDEX(pin!$D$6:$T$42,MATCH(ΥΠΟΛΟΓΙΣΜΟΙ!AZ28,pin!$B$6:$B$42,0),MATCH(ΥΠΟΛΟΓΙΣΜΟΙ!AW28,pin!$D$5:$T$5,0)))</f>
        <v>1</v>
      </c>
      <c r="BB28" s="225">
        <f>INDEX(pin!$D$6:$T$42,MATCH(ΥΠΟΛΟΓΙΣΜΟΙ!AY28,pin!$B$6:$B$42,0),MATCH(ΥΠΟΛΟΓΙΣΜΟΙ!AX28,pin!$D$5:$T$5,0))+0.4*(AY28-AE28)*(INDEX(pin!$D$6:$T$42,MATCH(ΥΠΟΛΟΓΙΣΜΟΙ!AY28,pin!$B$6:$B$42,0),MATCH(ΥΠΟΛΟΓΙΣΜΟΙ!AX28,pin!$D$5:$T$5,0))-INDEX(pin!$D$6:$T$42,MATCH(ΥΠΟΛΟΓΙΣΜΟΙ!AZ28,pin!$B$6:$B$42,0),MATCH(ΥΠΟΛΟΓΙΣΜΟΙ!AX28,pin!$D$5:$T$5,0)))</f>
        <v>1</v>
      </c>
      <c r="BC28" s="210">
        <f>INDEX(pin!$X$6:$AN$42,MATCH(ΥΠΟΛΟΓΙΣΜΟΙ!AY28,pin!$V$6:$V$42,0),MATCH(ΥΠΟΛΟΓΙΣΜΟΙ!AW28,pin!$X$5:$AN$5,0))+0.4*(AY28-AE28)*(INDEX(pin!$X$6:$AN$42,MATCH(ΥΠΟΛΟΓΙΣΜΟΙ!AY28,pin!$V$6:$V$42,0),MATCH(ΥΠΟΛΟΓΙΣΜΟΙ!AW28,pin!$X$5:$AN$5,0))-INDEX(pin!$X$6:$AN$42,MATCH(ΥΠΟΛΟΓΙΣΜΟΙ!AZ28,pin!$V$6:$V$42,0),MATCH(ΥΠΟΛΟΓΙΣΜΟΙ!AW28,pin!$X$5:$AN$5,0)))</f>
        <v>1</v>
      </c>
      <c r="BD28" s="210">
        <f>INDEX(pin!$X$6:$AN$42,MATCH(ΥΠΟΛΟΓΙΣΜΟΙ!AY28,pin!$V$6:$V$42,0),MATCH(ΥΠΟΛΟΓΙΣΜΟΙ!AX28,pin!$X$5:$AN$5,0))+0.4*(AY28-AE28)*(INDEX(pin!$X$6:$AN$42,MATCH(ΥΠΟΛΟΓΙΣΜΟΙ!AY28,pin!$V$6:$V$42,0),MATCH(ΥΠΟΛΟΓΙΣΜΟΙ!AX28,pin!$X$5:$AN$5,0))-INDEX(pin!$X$6:$AN$42,MATCH(ΥΠΟΛΟΓΙΣΜΟΙ!AZ28,pin!$V$6:$V$42,0),MATCH(ΥΠΟΛΟΓΙΣΜΟΙ!AX28,pin!$X$5:$AN$5,0)))</f>
        <v>1</v>
      </c>
      <c r="BE28" s="209">
        <f t="shared" si="22"/>
        <v>0</v>
      </c>
      <c r="BF28" s="210">
        <f t="shared" si="23"/>
        <v>0</v>
      </c>
      <c r="BG28" s="210">
        <f>INDEX(pin!$D$48:$T$84,MATCH(ΥΠΟΛΟΓΙΣΜΟΙ!BE28,pin!$B$48:$B$84,0),MATCH(ΥΠΟΛΟΓΙΣΜΟΙ!AW28,pin!$D$47:$T$47,0))+0.4*(BE28-AF28)*(INDEX(pin!$D$48:$T$84,MATCH(ΥΠΟΛΟΓΙΣΜΟΙ!BE28,pin!$B$48:$B$84,0),MATCH(ΥΠΟΛΟΓΙΣΜΟΙ!AW28,pin!$D$47:$T$47,0))-INDEX(pin!$D$48:$T$84,MATCH(ΥΠΟΛΟΓΙΣΜΟΙ!BF28,pin!$B$48:$B$84,0),MATCH(ΥΠΟΛΟΓΙΣΜΟΙ!AW28,pin!$D$47:$T$47,0)))</f>
        <v>1</v>
      </c>
      <c r="BH28" s="210">
        <f>INDEX(pin!$D$48:$T$84,MATCH(ΥΠΟΛΟΓΙΣΜΟΙ!BE28,pin!$B$48:$B$84,0),MATCH(ΥΠΟΛΟΓΙΣΜΟΙ!AX28,pin!$D$47:$T$47,0))+0.4*(BE28-AF28)*(INDEX(pin!$D$48:$T$84,MATCH(ΥΠΟΛΟΓΙΣΜΟΙ!BE28,pin!$B$48:$B$84,0),MATCH(ΥΠΟΛΟΓΙΣΜΟΙ!AX28,pin!$D$47:$T$47,0))-INDEX(pin!$D$48:$T$84,MATCH(ΥΠΟΛΟΓΙΣΜΟΙ!BF28,pin!$B$48:$B$84,0),MATCH(ΥΠΟΛΟΓΙΣΜΟΙ!AX28,pin!$D$47:$T$47,0)))</f>
        <v>1</v>
      </c>
      <c r="BI28" s="209">
        <f>INDEX(pin!$X$48:$AN$84,MATCH(ΥΠΟΛΟΓΙΣΜΟΙ!BE28,pin!$V$48:$V$84,0),MATCH(ΥΠΟΛΟΓΙΣΜΟΙ!AW28,pin!$X$47:$AN$47,0))+0.4*(BE28-AF28)*(INDEX(pin!$X$48:$AN$84,MATCH(ΥΠΟΛΟΓΙΣΜΟΙ!BE28,pin!$V$48:$V$84,0),MATCH(ΥΠΟΛΟΓΙΣΜΟΙ!AW28,pin!$X$47:$AN$47,0))-INDEX(pin!$X$48:$AN$84,MATCH(ΥΠΟΛΟΓΙΣΜΟΙ!BF28,pin!$V$48:$V$84,0),MATCH(ΥΠΟΛΟΓΙΣΜΟΙ!AW28,pin!$X$47:$AN$47,0)))</f>
        <v>1</v>
      </c>
      <c r="BJ28" s="225">
        <f>INDEX(pin!$X$48:$AN$84,MATCH(ΥΠΟΛΟΓΙΣΜΟΙ!BE28,pin!$V$48:$V$84,0),MATCH(ΥΠΟΛΟΓΙΣΜΟΙ!AX28,pin!$X$47:$AN$47,0))+0.4*(BE28-AF28)*(INDEX(pin!$X$48:$AN$84,MATCH(ΥΠΟΛΟΓΙΣΜΟΙ!BE28,pin!$V$48:$V$84,0),MATCH(ΥΠΟΛΟΓΙΣΜΟΙ!AX28,pin!$X$47:$AN$47,0))-INDEX(pin!$X$48:$AN$84,MATCH(ΥΠΟΛΟΓΙΣΜΟΙ!BF28,pin!$V$48:$V$84,0),MATCH(ΥΠΟΛΟΓΙΣΜΟΙ!AX28,pin!$X$47:$AN$47,0)))</f>
        <v>1</v>
      </c>
      <c r="BK28" s="209">
        <f t="shared" si="24"/>
        <v>0</v>
      </c>
      <c r="BL28" s="210">
        <f t="shared" si="25"/>
        <v>0</v>
      </c>
      <c r="BM28" s="210">
        <f>INDEX(pin!$X$48:$AN$84,MATCH(ΥΠΟΛΟΓΙΣΜΟΙ!BK28,pin!$V$48:$V$84,0),MATCH(ΥΠΟΛΟΓΙΣΜΟΙ!AW28,pin!$X$47:$AN$47,0))+0.4*(BK28-AG28)*(INDEX(pin!$X$48:$AN$84,MATCH(ΥΠΟΛΟΓΙΣΜΟΙ!BK28,pin!$V$48:$V$84,0),MATCH(ΥΠΟΛΟΓΙΣΜΟΙ!AW28,pin!$X$47:$AN$47,0))-INDEX(pin!$X$48:$AN$84,MATCH(ΥΠΟΛΟΓΙΣΜΟΙ!BL28,pin!$V$48:$V$84,0),MATCH(ΥΠΟΛΟΓΙΣΜΟΙ!AW28,pin!$X$47:$AN$47,0)))</f>
        <v>1</v>
      </c>
      <c r="BN28" s="225">
        <f>INDEX(pin!$X$48:$AN$84,MATCH(ΥΠΟΛΟΓΙΣΜΟΙ!BK28,pin!$V$48:$V$84,0),MATCH(ΥΠΟΛΟΓΙΣΜΟΙ!AX28,pin!$X$47:$AN$47,0))+0.4*(BK28-AG28)*(INDEX(pin!$X$48:$AN$84,MATCH(ΥΠΟΛΟΓΙΣΜΟΙ!BK28,pin!$V$48:$V$84,0),MATCH(ΥΠΟΛΟΓΙΣΜΟΙ!AX28,pin!$X$47:$AN$47,0))-INDEX(pin!$X$48:$AN$84,MATCH(ΥΠΟΛΟΓΙΣΜΟΙ!BL28,pin!$V$48:$V$84,0),MATCH(ΥΠΟΛΟΓΙΣΜΟΙ!AX28,pin!$X$47:$AN$47,0)))</f>
        <v>1</v>
      </c>
      <c r="BO28" s="209">
        <f t="shared" si="26"/>
        <v>0</v>
      </c>
      <c r="BP28" s="210">
        <f t="shared" si="27"/>
        <v>0</v>
      </c>
      <c r="BQ28" s="210">
        <f>INDEX(pin!$D$114:$T$132,MATCH(ΥΠΟΛΟΓΙΣΜΟΙ!BO28,pin!$B$114:$B$132,0),MATCH(ΥΠΟΛΟΓΙΣΜΟΙ!AW28,pin!$D$113:$T$113,0))+0.2*(BO28-AH28)*(INDEX(pin!$D$114:$T$132,MATCH(ΥΠΟΛΟΓΙΣΜΟΙ!BO28,pin!$B$114:$B$132,0),MATCH(ΥΠΟΛΟΓΙΣΜΟΙ!AW28,pin!$D$113:$T$113,0))-INDEX(pin!$D$114:$T$132,MATCH(ΥΠΟΛΟΓΙΣΜΟΙ!BP28,pin!$B$114:$B$132,0),MATCH(ΥΠΟΛΟΓΙΣΜΟΙ!AW28,pin!$D$113:$T$113,0)))</f>
        <v>1</v>
      </c>
      <c r="BR28" s="210">
        <f>INDEX(pin!$D$114:$T$132,MATCH(ΥΠΟΛΟΓΙΣΜΟΙ!BO28,pin!$B$114:$B$132,0),MATCH(ΥΠΟΛΟΓΙΣΜΟΙ!AX28,pin!$D$113:$T$113,0))+0.2*(BO28-AH28)*(INDEX(pin!$D$114:$T$132,MATCH(ΥΠΟΛΟΓΙΣΜΟΙ!BO28,pin!$B$114:$B$132,0),MATCH(ΥΠΟΛΟΓΙΣΜΟΙ!AX28,pin!$D$113:$T$113,0))-INDEX(pin!$D$114:$T$132,MATCH(ΥΠΟΛΟΓΙΣΜΟΙ!BP28,pin!$B$114:$B$132,0),MATCH(ΥΠΟΛΟΓΙΣΜΟΙ!AX28,pin!$D$113:$T$113,0)))</f>
        <v>1</v>
      </c>
      <c r="BS28" s="209">
        <f>INDEX(pin!$X$114:$AN$132,MATCH(ΥΠΟΛΟΓΙΣΜΟΙ!BO28,pin!$V$114:$V$132,0),MATCH(ΥΠΟΛΟΓΙΣΜΟΙ!AW28,pin!$X$113:$AN$113,0))+0.2*(BO28-AH28)*(INDEX(pin!$X$114:$AN$132,MATCH(ΥΠΟΛΟΓΙΣΜΟΙ!BO28,pin!$V$114:$V$132,0),MATCH(ΥΠΟΛΟΓΙΣΜΟΙ!AW28,pin!$X$113:$AN$113,0))-INDEX(pin!$X$114:$AN$132,MATCH(ΥΠΟΛΟΓΙΣΜΟΙ!BP28,pin!$V$114:$V$132,0),MATCH(ΥΠΟΛΟΓΙΣΜΟΙ!AW28,pin!$X$113:$AN$113,0)))</f>
        <v>1</v>
      </c>
      <c r="BT28" s="225">
        <f>INDEX(pin!$X$114:$AN$132,MATCH(ΥΠΟΛΟΓΙΣΜΟΙ!BO28,pin!$V$114:$V$132,0),MATCH(ΥΠΟΛΟΓΙΣΜΟΙ!AX28,pin!$X$113:$AN$113,0))+0.2*(BO28-AH28)*(INDEX(pin!$X$114:$AN$132,MATCH(ΥΠΟΛΟΓΙΣΜΟΙ!BO28,pin!$V$114:$V$132,0),MATCH(ΥΠΟΛΟΓΙΣΜΟΙ!AX28,pin!$X$113:$AN$113,0))-INDEX(pin!$X$114:$AN$132,MATCH(ΥΠΟΛΟΓΙΣΜΟΙ!BP28,pin!$V$114:$V$132,0),MATCH(ΥΠΟΛΟΓΙΣΜΟΙ!AX28,pin!$X$113:$AN$113,0)))</f>
        <v>1</v>
      </c>
      <c r="BU28" s="209">
        <f t="shared" si="28"/>
        <v>0</v>
      </c>
      <c r="BV28" s="210">
        <f t="shared" si="29"/>
        <v>0</v>
      </c>
      <c r="BW28" s="210">
        <f>INDEX(pin!$D$90:$T$108,MATCH(ΥΠΟΛΟΓΙΣΜΟΙ!BU28,pin!$B$90:$B$108,0),MATCH(ΥΠΟΛΟΓΙΣΜΟΙ!AW28,pin!$D$89:$T$89,0))+0.2*(BU28-AI28)*(INDEX(pin!$D$90:$T$108,MATCH(ΥΠΟΛΟΓΙΣΜΟΙ!BU28,pin!$B$90:$B$108,0),MATCH(ΥΠΟΛΟΓΙΣΜΟΙ!AW28,pin!$D$89:$T$89,0))-INDEX(pin!$D$90:$T$108,MATCH(ΥΠΟΛΟΓΙΣΜΟΙ!BV28,pin!$B$90:$B$108,0),MATCH(ΥΠΟΛΟΓΙΣΜΟΙ!AW28,pin!$D$89:$T$89,0)))</f>
        <v>1</v>
      </c>
      <c r="BX28" s="225">
        <f>INDEX(pin!$D$90:$T$108,MATCH(ΥΠΟΛΟΓΙΣΜΟΙ!BU28,pin!$B$90:$B$108,0),MATCH(ΥΠΟΛΟΓΙΣΜΟΙ!AX28,pin!$D$89:$T$89,0))+0.2*(BU28-AI28)*(INDEX(pin!$D$90:$T$108,MATCH(ΥΠΟΛΟΓΙΣΜΟΙ!BU28,pin!$B$90:$B$108,0),MATCH(ΥΠΟΛΟΓΙΣΜΟΙ!AX28,pin!$D$89:$T$89,0))-INDEX(pin!$D$90:$T$108,MATCH(ΥΠΟΛΟΓΙΣΜΟΙ!BV28,pin!$B$90:$B$108,0),MATCH(ΥΠΟΛΟΓΙΣΜΟΙ!AX28,pin!$D$89:$T$89,0)))</f>
        <v>1</v>
      </c>
      <c r="BY28" s="210">
        <f>INDEX(pin!$X$90:$AN$108,MATCH(ΥΠΟΛΟΓΙΣΜΟΙ!BU28,pin!$V$90:$V$108,0),MATCH(ΥΠΟΛΟΓΙΣΜΟΙ!AW28,pin!$X$89:$AN$89,0))+0.2*(BU28-AI28)*(INDEX(pin!$X$90:$AN$108,MATCH(ΥΠΟΛΟΓΙΣΜΟΙ!BU28,pin!$V$90:$V$108,0),MATCH(ΥΠΟΛΟΓΙΣΜΟΙ!AW28,pin!$X$89:$AN$89,0))-INDEX(pin!$X$90:$AN$108,MATCH(ΥΠΟΛΟΓΙΣΜΟΙ!BV28,pin!$V$90:$V$108,0),MATCH(ΥΠΟΛΟΓΙΣΜΟΙ!AW28,pin!$X$89:$AN$89,0)))</f>
        <v>1</v>
      </c>
      <c r="BZ28" s="225">
        <f>INDEX(pin!$X$90:$AN$108,MATCH(ΥΠΟΛΟΓΙΣΜΟΙ!BU28,pin!$V$90:$V$108,0),MATCH(ΥΠΟΛΟΓΙΣΜΟΙ!AX28,pin!$X$89:$AN$89,0))+0.2*(BU28-AI28)*(INDEX(pin!$X$90:$AN$108,MATCH(ΥΠΟΛΟΓΙΣΜΟΙ!BU28,pin!$V$90:$V$108,0),MATCH(ΥΠΟΛΟΓΙΣΜΟΙ!AX28,pin!$X$89:$AN$89,0))-INDEX(pin!$X$90:$AN$108,MATCH(ΥΠΟΛΟΓΙΣΜΟΙ!BV28,pin!$V$90:$V$108,0),MATCH(ΥΠΟΛΟΓΙΣΜΟΙ!AX28,pin!$X$89:$AN$89,0)))</f>
        <v>1</v>
      </c>
      <c r="CA28" s="213"/>
      <c r="DI28" s="261"/>
    </row>
    <row r="29" spans="1:113">
      <c r="A29" s="56">
        <v>12</v>
      </c>
      <c r="B29" s="128"/>
      <c r="C29" s="126"/>
      <c r="D29" s="126"/>
      <c r="E29" s="47" t="str">
        <f t="shared" si="1"/>
        <v>-</v>
      </c>
      <c r="F29" s="126"/>
      <c r="G29" s="269" t="str">
        <f t="shared" si="2"/>
        <v>-</v>
      </c>
      <c r="H29" s="270"/>
      <c r="I29" s="126"/>
      <c r="J29" s="126"/>
      <c r="K29" s="265" t="str">
        <f t="shared" si="3"/>
        <v>-</v>
      </c>
      <c r="L29" s="264"/>
      <c r="M29" s="129"/>
      <c r="N29" s="200" t="str">
        <f>IF(L29="","-",IFERROR(IF(C29&lt;0,"-",INDEX(pin!$AR$6:$AR$22,MATCH(MROUND(ΥΠΟΛΟΓΙΣΜΟΙ!L29,22.5),pin!$AQ$6:$AQ$22))),"-"))</f>
        <v>-</v>
      </c>
      <c r="O29" s="46">
        <f t="shared" si="4"/>
        <v>1</v>
      </c>
      <c r="P29" s="130">
        <f t="shared" si="30"/>
        <v>1</v>
      </c>
      <c r="Q29" s="46">
        <f t="shared" si="5"/>
        <v>1</v>
      </c>
      <c r="R29" s="130">
        <f t="shared" si="6"/>
        <v>1</v>
      </c>
      <c r="S29" s="46">
        <f t="shared" si="7"/>
        <v>1</v>
      </c>
      <c r="T29" s="130">
        <f t="shared" si="8"/>
        <v>1</v>
      </c>
      <c r="U29" s="131"/>
      <c r="V29" s="132"/>
      <c r="W29" s="126"/>
      <c r="X29" s="127"/>
      <c r="Y29" s="182"/>
      <c r="Z29" s="132"/>
      <c r="AA29" s="126"/>
      <c r="AB29" s="126"/>
      <c r="AC29" s="131"/>
      <c r="AD29" s="127"/>
      <c r="AE29" s="226">
        <f t="shared" si="0"/>
        <v>0</v>
      </c>
      <c r="AF29" s="202">
        <f t="shared" si="9"/>
        <v>0</v>
      </c>
      <c r="AG29" s="202">
        <f t="shared" si="10"/>
        <v>0</v>
      </c>
      <c r="AH29" s="202">
        <f t="shared" si="11"/>
        <v>0</v>
      </c>
      <c r="AI29" s="202">
        <f t="shared" si="12"/>
        <v>0</v>
      </c>
      <c r="AJ29" s="203">
        <f t="shared" si="13"/>
        <v>1</v>
      </c>
      <c r="AK29" s="203">
        <f t="shared" si="14"/>
        <v>1</v>
      </c>
      <c r="AL29" s="203">
        <f t="shared" si="15"/>
        <v>1</v>
      </c>
      <c r="AM29" s="203">
        <f t="shared" si="16"/>
        <v>1</v>
      </c>
      <c r="AN29" s="209">
        <f t="shared" si="17"/>
        <v>0</v>
      </c>
      <c r="AO29" s="210"/>
      <c r="AP29" s="210"/>
      <c r="AQ29" s="210"/>
      <c r="AR29" s="210"/>
      <c r="AS29" s="210"/>
      <c r="AT29" s="210"/>
      <c r="AU29" s="210"/>
      <c r="AV29" s="210" t="s">
        <v>268</v>
      </c>
      <c r="AW29" s="210">
        <f t="shared" si="18"/>
        <v>0</v>
      </c>
      <c r="AX29" s="225">
        <f t="shared" si="19"/>
        <v>0</v>
      </c>
      <c r="AY29" s="209">
        <f t="shared" si="20"/>
        <v>0</v>
      </c>
      <c r="AZ29" s="210">
        <f t="shared" si="21"/>
        <v>0</v>
      </c>
      <c r="BA29" s="210">
        <f>INDEX(pin!$D$6:$T$42,MATCH(ΥΠΟΛΟΓΙΣΜΟΙ!AY29,pin!$B$6:$B$42,0),MATCH(ΥΠΟΛΟΓΙΣΜΟΙ!AW29,pin!$D$5:$T$5,0))+0.4*(AY29-AE29)*(INDEX(pin!$D$6:$T$42,MATCH(ΥΠΟΛΟΓΙΣΜΟΙ!AY29,pin!$B$6:$B$42,0),MATCH(ΥΠΟΛΟΓΙΣΜΟΙ!AW29,pin!$D$5:$T$5,0))-INDEX(pin!$D$6:$T$42,MATCH(ΥΠΟΛΟΓΙΣΜΟΙ!AZ29,pin!$B$6:$B$42,0),MATCH(ΥΠΟΛΟΓΙΣΜΟΙ!AW29,pin!$D$5:$T$5,0)))</f>
        <v>1</v>
      </c>
      <c r="BB29" s="225">
        <f>INDEX(pin!$D$6:$T$42,MATCH(ΥΠΟΛΟΓΙΣΜΟΙ!AY29,pin!$B$6:$B$42,0),MATCH(ΥΠΟΛΟΓΙΣΜΟΙ!AX29,pin!$D$5:$T$5,0))+0.4*(AY29-AE29)*(INDEX(pin!$D$6:$T$42,MATCH(ΥΠΟΛΟΓΙΣΜΟΙ!AY29,pin!$B$6:$B$42,0),MATCH(ΥΠΟΛΟΓΙΣΜΟΙ!AX29,pin!$D$5:$T$5,0))-INDEX(pin!$D$6:$T$42,MATCH(ΥΠΟΛΟΓΙΣΜΟΙ!AZ29,pin!$B$6:$B$42,0),MATCH(ΥΠΟΛΟΓΙΣΜΟΙ!AX29,pin!$D$5:$T$5,0)))</f>
        <v>1</v>
      </c>
      <c r="BC29" s="210">
        <f>INDEX(pin!$X$6:$AN$42,MATCH(ΥΠΟΛΟΓΙΣΜΟΙ!AY29,pin!$V$6:$V$42,0),MATCH(ΥΠΟΛΟΓΙΣΜΟΙ!AW29,pin!$X$5:$AN$5,0))+0.4*(AY29-AE29)*(INDEX(pin!$X$6:$AN$42,MATCH(ΥΠΟΛΟΓΙΣΜΟΙ!AY29,pin!$V$6:$V$42,0),MATCH(ΥΠΟΛΟΓΙΣΜΟΙ!AW29,pin!$X$5:$AN$5,0))-INDEX(pin!$X$6:$AN$42,MATCH(ΥΠΟΛΟΓΙΣΜΟΙ!AZ29,pin!$V$6:$V$42,0),MATCH(ΥΠΟΛΟΓΙΣΜΟΙ!AW29,pin!$X$5:$AN$5,0)))</f>
        <v>1</v>
      </c>
      <c r="BD29" s="210">
        <f>INDEX(pin!$X$6:$AN$42,MATCH(ΥΠΟΛΟΓΙΣΜΟΙ!AY29,pin!$V$6:$V$42,0),MATCH(ΥΠΟΛΟΓΙΣΜΟΙ!AX29,pin!$X$5:$AN$5,0))+0.4*(AY29-AE29)*(INDEX(pin!$X$6:$AN$42,MATCH(ΥΠΟΛΟΓΙΣΜΟΙ!AY29,pin!$V$6:$V$42,0),MATCH(ΥΠΟΛΟΓΙΣΜΟΙ!AX29,pin!$X$5:$AN$5,0))-INDEX(pin!$X$6:$AN$42,MATCH(ΥΠΟΛΟΓΙΣΜΟΙ!AZ29,pin!$V$6:$V$42,0),MATCH(ΥΠΟΛΟΓΙΣΜΟΙ!AX29,pin!$X$5:$AN$5,0)))</f>
        <v>1</v>
      </c>
      <c r="BE29" s="209">
        <f t="shared" si="22"/>
        <v>0</v>
      </c>
      <c r="BF29" s="210">
        <f t="shared" si="23"/>
        <v>0</v>
      </c>
      <c r="BG29" s="210">
        <f>INDEX(pin!$D$48:$T$84,MATCH(ΥΠΟΛΟΓΙΣΜΟΙ!BE29,pin!$B$48:$B$84,0),MATCH(ΥΠΟΛΟΓΙΣΜΟΙ!AW29,pin!$D$47:$T$47,0))+0.4*(BE29-AF29)*(INDEX(pin!$D$48:$T$84,MATCH(ΥΠΟΛΟΓΙΣΜΟΙ!BE29,pin!$B$48:$B$84,0),MATCH(ΥΠΟΛΟΓΙΣΜΟΙ!AW29,pin!$D$47:$T$47,0))-INDEX(pin!$D$48:$T$84,MATCH(ΥΠΟΛΟΓΙΣΜΟΙ!BF29,pin!$B$48:$B$84,0),MATCH(ΥΠΟΛΟΓΙΣΜΟΙ!AW29,pin!$D$47:$T$47,0)))</f>
        <v>1</v>
      </c>
      <c r="BH29" s="210">
        <f>INDEX(pin!$D$48:$T$84,MATCH(ΥΠΟΛΟΓΙΣΜΟΙ!BE29,pin!$B$48:$B$84,0),MATCH(ΥΠΟΛΟΓΙΣΜΟΙ!AX29,pin!$D$47:$T$47,0))+0.4*(BE29-AF29)*(INDEX(pin!$D$48:$T$84,MATCH(ΥΠΟΛΟΓΙΣΜΟΙ!BE29,pin!$B$48:$B$84,0),MATCH(ΥΠΟΛΟΓΙΣΜΟΙ!AX29,pin!$D$47:$T$47,0))-INDEX(pin!$D$48:$T$84,MATCH(ΥΠΟΛΟΓΙΣΜΟΙ!BF29,pin!$B$48:$B$84,0),MATCH(ΥΠΟΛΟΓΙΣΜΟΙ!AX29,pin!$D$47:$T$47,0)))</f>
        <v>1</v>
      </c>
      <c r="BI29" s="209">
        <f>INDEX(pin!$X$48:$AN$84,MATCH(ΥΠΟΛΟΓΙΣΜΟΙ!BE29,pin!$V$48:$V$84,0),MATCH(ΥΠΟΛΟΓΙΣΜΟΙ!AW29,pin!$X$47:$AN$47,0))+0.4*(BE29-AF29)*(INDEX(pin!$X$48:$AN$84,MATCH(ΥΠΟΛΟΓΙΣΜΟΙ!BE29,pin!$V$48:$V$84,0),MATCH(ΥΠΟΛΟΓΙΣΜΟΙ!AW29,pin!$X$47:$AN$47,0))-INDEX(pin!$X$48:$AN$84,MATCH(ΥΠΟΛΟΓΙΣΜΟΙ!BF29,pin!$V$48:$V$84,0),MATCH(ΥΠΟΛΟΓΙΣΜΟΙ!AW29,pin!$X$47:$AN$47,0)))</f>
        <v>1</v>
      </c>
      <c r="BJ29" s="225">
        <f>INDEX(pin!$X$48:$AN$84,MATCH(ΥΠΟΛΟΓΙΣΜΟΙ!BE29,pin!$V$48:$V$84,0),MATCH(ΥΠΟΛΟΓΙΣΜΟΙ!AX29,pin!$X$47:$AN$47,0))+0.4*(BE29-AF29)*(INDEX(pin!$X$48:$AN$84,MATCH(ΥΠΟΛΟΓΙΣΜΟΙ!BE29,pin!$V$48:$V$84,0),MATCH(ΥΠΟΛΟΓΙΣΜΟΙ!AX29,pin!$X$47:$AN$47,0))-INDEX(pin!$X$48:$AN$84,MATCH(ΥΠΟΛΟΓΙΣΜΟΙ!BF29,pin!$V$48:$V$84,0),MATCH(ΥΠΟΛΟΓΙΣΜΟΙ!AX29,pin!$X$47:$AN$47,0)))</f>
        <v>1</v>
      </c>
      <c r="BK29" s="209">
        <f t="shared" si="24"/>
        <v>0</v>
      </c>
      <c r="BL29" s="210">
        <f t="shared" si="25"/>
        <v>0</v>
      </c>
      <c r="BM29" s="210">
        <f>INDEX(pin!$X$48:$AN$84,MATCH(ΥΠΟΛΟΓΙΣΜΟΙ!BK29,pin!$V$48:$V$84,0),MATCH(ΥΠΟΛΟΓΙΣΜΟΙ!AW29,pin!$X$47:$AN$47,0))+0.4*(BK29-AG29)*(INDEX(pin!$X$48:$AN$84,MATCH(ΥΠΟΛΟΓΙΣΜΟΙ!BK29,pin!$V$48:$V$84,0),MATCH(ΥΠΟΛΟΓΙΣΜΟΙ!AW29,pin!$X$47:$AN$47,0))-INDEX(pin!$X$48:$AN$84,MATCH(ΥΠΟΛΟΓΙΣΜΟΙ!BL29,pin!$V$48:$V$84,0),MATCH(ΥΠΟΛΟΓΙΣΜΟΙ!AW29,pin!$X$47:$AN$47,0)))</f>
        <v>1</v>
      </c>
      <c r="BN29" s="225">
        <f>INDEX(pin!$X$48:$AN$84,MATCH(ΥΠΟΛΟΓΙΣΜΟΙ!BK29,pin!$V$48:$V$84,0),MATCH(ΥΠΟΛΟΓΙΣΜΟΙ!AX29,pin!$X$47:$AN$47,0))+0.4*(BK29-AG29)*(INDEX(pin!$X$48:$AN$84,MATCH(ΥΠΟΛΟΓΙΣΜΟΙ!BK29,pin!$V$48:$V$84,0),MATCH(ΥΠΟΛΟΓΙΣΜΟΙ!AX29,pin!$X$47:$AN$47,0))-INDEX(pin!$X$48:$AN$84,MATCH(ΥΠΟΛΟΓΙΣΜΟΙ!BL29,pin!$V$48:$V$84,0),MATCH(ΥΠΟΛΟΓΙΣΜΟΙ!AX29,pin!$X$47:$AN$47,0)))</f>
        <v>1</v>
      </c>
      <c r="BO29" s="209">
        <f t="shared" si="26"/>
        <v>0</v>
      </c>
      <c r="BP29" s="210">
        <f t="shared" si="27"/>
        <v>0</v>
      </c>
      <c r="BQ29" s="210">
        <f>INDEX(pin!$D$114:$T$132,MATCH(ΥΠΟΛΟΓΙΣΜΟΙ!BO29,pin!$B$114:$B$132,0),MATCH(ΥΠΟΛΟΓΙΣΜΟΙ!AW29,pin!$D$113:$T$113,0))+0.2*(BO29-AH29)*(INDEX(pin!$D$114:$T$132,MATCH(ΥΠΟΛΟΓΙΣΜΟΙ!BO29,pin!$B$114:$B$132,0),MATCH(ΥΠΟΛΟΓΙΣΜΟΙ!AW29,pin!$D$113:$T$113,0))-INDEX(pin!$D$114:$T$132,MATCH(ΥΠΟΛΟΓΙΣΜΟΙ!BP29,pin!$B$114:$B$132,0),MATCH(ΥΠΟΛΟΓΙΣΜΟΙ!AW29,pin!$D$113:$T$113,0)))</f>
        <v>1</v>
      </c>
      <c r="BR29" s="210">
        <f>INDEX(pin!$D$114:$T$132,MATCH(ΥΠΟΛΟΓΙΣΜΟΙ!BO29,pin!$B$114:$B$132,0),MATCH(ΥΠΟΛΟΓΙΣΜΟΙ!AX29,pin!$D$113:$T$113,0))+0.2*(BO29-AH29)*(INDEX(pin!$D$114:$T$132,MATCH(ΥΠΟΛΟΓΙΣΜΟΙ!BO29,pin!$B$114:$B$132,0),MATCH(ΥΠΟΛΟΓΙΣΜΟΙ!AX29,pin!$D$113:$T$113,0))-INDEX(pin!$D$114:$T$132,MATCH(ΥΠΟΛΟΓΙΣΜΟΙ!BP29,pin!$B$114:$B$132,0),MATCH(ΥΠΟΛΟΓΙΣΜΟΙ!AX29,pin!$D$113:$T$113,0)))</f>
        <v>1</v>
      </c>
      <c r="BS29" s="209">
        <f>INDEX(pin!$X$114:$AN$132,MATCH(ΥΠΟΛΟΓΙΣΜΟΙ!BO29,pin!$V$114:$V$132,0),MATCH(ΥΠΟΛΟΓΙΣΜΟΙ!AW29,pin!$X$113:$AN$113,0))+0.2*(BO29-AH29)*(INDEX(pin!$X$114:$AN$132,MATCH(ΥΠΟΛΟΓΙΣΜΟΙ!BO29,pin!$V$114:$V$132,0),MATCH(ΥΠΟΛΟΓΙΣΜΟΙ!AW29,pin!$X$113:$AN$113,0))-INDEX(pin!$X$114:$AN$132,MATCH(ΥΠΟΛΟΓΙΣΜΟΙ!BP29,pin!$V$114:$V$132,0),MATCH(ΥΠΟΛΟΓΙΣΜΟΙ!AW29,pin!$X$113:$AN$113,0)))</f>
        <v>1</v>
      </c>
      <c r="BT29" s="225">
        <f>INDEX(pin!$X$114:$AN$132,MATCH(ΥΠΟΛΟΓΙΣΜΟΙ!BO29,pin!$V$114:$V$132,0),MATCH(ΥΠΟΛΟΓΙΣΜΟΙ!AX29,pin!$X$113:$AN$113,0))+0.2*(BO29-AH29)*(INDEX(pin!$X$114:$AN$132,MATCH(ΥΠΟΛΟΓΙΣΜΟΙ!BO29,pin!$V$114:$V$132,0),MATCH(ΥΠΟΛΟΓΙΣΜΟΙ!AX29,pin!$X$113:$AN$113,0))-INDEX(pin!$X$114:$AN$132,MATCH(ΥΠΟΛΟΓΙΣΜΟΙ!BP29,pin!$V$114:$V$132,0),MATCH(ΥΠΟΛΟΓΙΣΜΟΙ!AX29,pin!$X$113:$AN$113,0)))</f>
        <v>1</v>
      </c>
      <c r="BU29" s="209">
        <f t="shared" si="28"/>
        <v>0</v>
      </c>
      <c r="BV29" s="210">
        <f t="shared" si="29"/>
        <v>0</v>
      </c>
      <c r="BW29" s="210">
        <f>INDEX(pin!$D$90:$T$108,MATCH(ΥΠΟΛΟΓΙΣΜΟΙ!BU29,pin!$B$90:$B$108,0),MATCH(ΥΠΟΛΟΓΙΣΜΟΙ!AW29,pin!$D$89:$T$89,0))+0.2*(BU29-AI29)*(INDEX(pin!$D$90:$T$108,MATCH(ΥΠΟΛΟΓΙΣΜΟΙ!BU29,pin!$B$90:$B$108,0),MATCH(ΥΠΟΛΟΓΙΣΜΟΙ!AW29,pin!$D$89:$T$89,0))-INDEX(pin!$D$90:$T$108,MATCH(ΥΠΟΛΟΓΙΣΜΟΙ!BV29,pin!$B$90:$B$108,0),MATCH(ΥΠΟΛΟΓΙΣΜΟΙ!AW29,pin!$D$89:$T$89,0)))</f>
        <v>1</v>
      </c>
      <c r="BX29" s="225">
        <f>INDEX(pin!$D$90:$T$108,MATCH(ΥΠΟΛΟΓΙΣΜΟΙ!BU29,pin!$B$90:$B$108,0),MATCH(ΥΠΟΛΟΓΙΣΜΟΙ!AX29,pin!$D$89:$T$89,0))+0.2*(BU29-AI29)*(INDEX(pin!$D$90:$T$108,MATCH(ΥΠΟΛΟΓΙΣΜΟΙ!BU29,pin!$B$90:$B$108,0),MATCH(ΥΠΟΛΟΓΙΣΜΟΙ!AX29,pin!$D$89:$T$89,0))-INDEX(pin!$D$90:$T$108,MATCH(ΥΠΟΛΟΓΙΣΜΟΙ!BV29,pin!$B$90:$B$108,0),MATCH(ΥΠΟΛΟΓΙΣΜΟΙ!AX29,pin!$D$89:$T$89,0)))</f>
        <v>1</v>
      </c>
      <c r="BY29" s="210">
        <f>INDEX(pin!$X$90:$AN$108,MATCH(ΥΠΟΛΟΓΙΣΜΟΙ!BU29,pin!$V$90:$V$108,0),MATCH(ΥΠΟΛΟΓΙΣΜΟΙ!AW29,pin!$X$89:$AN$89,0))+0.2*(BU29-AI29)*(INDEX(pin!$X$90:$AN$108,MATCH(ΥΠΟΛΟΓΙΣΜΟΙ!BU29,pin!$V$90:$V$108,0),MATCH(ΥΠΟΛΟΓΙΣΜΟΙ!AW29,pin!$X$89:$AN$89,0))-INDEX(pin!$X$90:$AN$108,MATCH(ΥΠΟΛΟΓΙΣΜΟΙ!BV29,pin!$V$90:$V$108,0),MATCH(ΥΠΟΛΟΓΙΣΜΟΙ!AW29,pin!$X$89:$AN$89,0)))</f>
        <v>1</v>
      </c>
      <c r="BZ29" s="225">
        <f>INDEX(pin!$X$90:$AN$108,MATCH(ΥΠΟΛΟΓΙΣΜΟΙ!BU29,pin!$V$90:$V$108,0),MATCH(ΥΠΟΛΟΓΙΣΜΟΙ!AX29,pin!$X$89:$AN$89,0))+0.2*(BU29-AI29)*(INDEX(pin!$X$90:$AN$108,MATCH(ΥΠΟΛΟΓΙΣΜΟΙ!BU29,pin!$V$90:$V$108,0),MATCH(ΥΠΟΛΟΓΙΣΜΟΙ!AX29,pin!$X$89:$AN$89,0))-INDEX(pin!$X$90:$AN$108,MATCH(ΥΠΟΛΟΓΙΣΜΟΙ!BV29,pin!$V$90:$V$108,0),MATCH(ΥΠΟΛΟΓΙΣΜΟΙ!AX29,pin!$X$89:$AN$89,0)))</f>
        <v>1</v>
      </c>
      <c r="CA29" s="213"/>
    </row>
    <row r="30" spans="1:113">
      <c r="A30" s="56">
        <v>13</v>
      </c>
      <c r="B30" s="128"/>
      <c r="C30" s="126"/>
      <c r="D30" s="126"/>
      <c r="E30" s="47" t="str">
        <f t="shared" si="1"/>
        <v>-</v>
      </c>
      <c r="F30" s="126"/>
      <c r="G30" s="269" t="str">
        <f t="shared" si="2"/>
        <v>-</v>
      </c>
      <c r="H30" s="270"/>
      <c r="I30" s="126"/>
      <c r="J30" s="126"/>
      <c r="K30" s="265" t="str">
        <f t="shared" si="3"/>
        <v>-</v>
      </c>
      <c r="L30" s="264"/>
      <c r="M30" s="129"/>
      <c r="N30" s="200" t="str">
        <f>IF(L30="","-",IFERROR(IF(C30&lt;0,"-",INDEX(pin!$AR$6:$AR$22,MATCH(MROUND(ΥΠΟΛΟΓΙΣΜΟΙ!L30,22.5),pin!$AQ$6:$AQ$22))),"-"))</f>
        <v>-</v>
      </c>
      <c r="O30" s="46">
        <f t="shared" si="4"/>
        <v>1</v>
      </c>
      <c r="P30" s="130">
        <f t="shared" si="30"/>
        <v>1</v>
      </c>
      <c r="Q30" s="46">
        <f t="shared" si="5"/>
        <v>1</v>
      </c>
      <c r="R30" s="130">
        <f t="shared" si="6"/>
        <v>1</v>
      </c>
      <c r="S30" s="46">
        <f t="shared" si="7"/>
        <v>1</v>
      </c>
      <c r="T30" s="130">
        <f t="shared" si="8"/>
        <v>1</v>
      </c>
      <c r="U30" s="131"/>
      <c r="V30" s="132"/>
      <c r="W30" s="126"/>
      <c r="X30" s="127"/>
      <c r="Y30" s="182"/>
      <c r="Z30" s="132"/>
      <c r="AA30" s="126"/>
      <c r="AB30" s="126"/>
      <c r="AC30" s="131"/>
      <c r="AD30" s="127"/>
      <c r="AE30" s="226">
        <f t="shared" si="0"/>
        <v>0</v>
      </c>
      <c r="AF30" s="202">
        <f t="shared" si="9"/>
        <v>0</v>
      </c>
      <c r="AG30" s="202">
        <f t="shared" si="10"/>
        <v>0</v>
      </c>
      <c r="AH30" s="202">
        <f t="shared" si="11"/>
        <v>0</v>
      </c>
      <c r="AI30" s="202">
        <f t="shared" si="12"/>
        <v>0</v>
      </c>
      <c r="AJ30" s="203">
        <f t="shared" si="13"/>
        <v>1</v>
      </c>
      <c r="AK30" s="203">
        <f t="shared" si="14"/>
        <v>1</v>
      </c>
      <c r="AL30" s="203">
        <f t="shared" si="15"/>
        <v>1</v>
      </c>
      <c r="AM30" s="203">
        <f t="shared" si="16"/>
        <v>1</v>
      </c>
      <c r="AN30" s="209">
        <f t="shared" si="17"/>
        <v>0</v>
      </c>
      <c r="AO30" s="210"/>
      <c r="AP30" s="210"/>
      <c r="AQ30" s="210"/>
      <c r="AR30" s="210"/>
      <c r="AS30" s="210"/>
      <c r="AT30" s="210"/>
      <c r="AU30" s="210"/>
      <c r="AV30" s="210" t="s">
        <v>268</v>
      </c>
      <c r="AW30" s="210">
        <f t="shared" si="18"/>
        <v>0</v>
      </c>
      <c r="AX30" s="225">
        <f t="shared" si="19"/>
        <v>0</v>
      </c>
      <c r="AY30" s="209">
        <f t="shared" si="20"/>
        <v>0</v>
      </c>
      <c r="AZ30" s="210">
        <f t="shared" si="21"/>
        <v>0</v>
      </c>
      <c r="BA30" s="210">
        <f>INDEX(pin!$D$6:$T$42,MATCH(ΥΠΟΛΟΓΙΣΜΟΙ!AY30,pin!$B$6:$B$42,0),MATCH(ΥΠΟΛΟΓΙΣΜΟΙ!AW30,pin!$D$5:$T$5,0))+0.4*(AY30-AE30)*(INDEX(pin!$D$6:$T$42,MATCH(ΥΠΟΛΟΓΙΣΜΟΙ!AY30,pin!$B$6:$B$42,0),MATCH(ΥΠΟΛΟΓΙΣΜΟΙ!AW30,pin!$D$5:$T$5,0))-INDEX(pin!$D$6:$T$42,MATCH(ΥΠΟΛΟΓΙΣΜΟΙ!AZ30,pin!$B$6:$B$42,0),MATCH(ΥΠΟΛΟΓΙΣΜΟΙ!AW30,pin!$D$5:$T$5,0)))</f>
        <v>1</v>
      </c>
      <c r="BB30" s="225">
        <f>INDEX(pin!$D$6:$T$42,MATCH(ΥΠΟΛΟΓΙΣΜΟΙ!AY30,pin!$B$6:$B$42,0),MATCH(ΥΠΟΛΟΓΙΣΜΟΙ!AX30,pin!$D$5:$T$5,0))+0.4*(AY30-AE30)*(INDEX(pin!$D$6:$T$42,MATCH(ΥΠΟΛΟΓΙΣΜΟΙ!AY30,pin!$B$6:$B$42,0),MATCH(ΥΠΟΛΟΓΙΣΜΟΙ!AX30,pin!$D$5:$T$5,0))-INDEX(pin!$D$6:$T$42,MATCH(ΥΠΟΛΟΓΙΣΜΟΙ!AZ30,pin!$B$6:$B$42,0),MATCH(ΥΠΟΛΟΓΙΣΜΟΙ!AX30,pin!$D$5:$T$5,0)))</f>
        <v>1</v>
      </c>
      <c r="BC30" s="210">
        <f>INDEX(pin!$X$6:$AN$42,MATCH(ΥΠΟΛΟΓΙΣΜΟΙ!AY30,pin!$V$6:$V$42,0),MATCH(ΥΠΟΛΟΓΙΣΜΟΙ!AW30,pin!$X$5:$AN$5,0))+0.4*(AY30-AE30)*(INDEX(pin!$X$6:$AN$42,MATCH(ΥΠΟΛΟΓΙΣΜΟΙ!AY30,pin!$V$6:$V$42,0),MATCH(ΥΠΟΛΟΓΙΣΜΟΙ!AW30,pin!$X$5:$AN$5,0))-INDEX(pin!$X$6:$AN$42,MATCH(ΥΠΟΛΟΓΙΣΜΟΙ!AZ30,pin!$V$6:$V$42,0),MATCH(ΥΠΟΛΟΓΙΣΜΟΙ!AW30,pin!$X$5:$AN$5,0)))</f>
        <v>1</v>
      </c>
      <c r="BD30" s="210">
        <f>INDEX(pin!$X$6:$AN$42,MATCH(ΥΠΟΛΟΓΙΣΜΟΙ!AY30,pin!$V$6:$V$42,0),MATCH(ΥΠΟΛΟΓΙΣΜΟΙ!AX30,pin!$X$5:$AN$5,0))+0.4*(AY30-AE30)*(INDEX(pin!$X$6:$AN$42,MATCH(ΥΠΟΛΟΓΙΣΜΟΙ!AY30,pin!$V$6:$V$42,0),MATCH(ΥΠΟΛΟΓΙΣΜΟΙ!AX30,pin!$X$5:$AN$5,0))-INDEX(pin!$X$6:$AN$42,MATCH(ΥΠΟΛΟΓΙΣΜΟΙ!AZ30,pin!$V$6:$V$42,0),MATCH(ΥΠΟΛΟΓΙΣΜΟΙ!AX30,pin!$X$5:$AN$5,0)))</f>
        <v>1</v>
      </c>
      <c r="BE30" s="209">
        <f t="shared" si="22"/>
        <v>0</v>
      </c>
      <c r="BF30" s="210">
        <f t="shared" si="23"/>
        <v>0</v>
      </c>
      <c r="BG30" s="210">
        <f>INDEX(pin!$D$48:$T$84,MATCH(ΥΠΟΛΟΓΙΣΜΟΙ!BE30,pin!$B$48:$B$84,0),MATCH(ΥΠΟΛΟΓΙΣΜΟΙ!AW30,pin!$D$47:$T$47,0))+0.4*(BE30-AF30)*(INDEX(pin!$D$48:$T$84,MATCH(ΥΠΟΛΟΓΙΣΜΟΙ!BE30,pin!$B$48:$B$84,0),MATCH(ΥΠΟΛΟΓΙΣΜΟΙ!AW30,pin!$D$47:$T$47,0))-INDEX(pin!$D$48:$T$84,MATCH(ΥΠΟΛΟΓΙΣΜΟΙ!BF30,pin!$B$48:$B$84,0),MATCH(ΥΠΟΛΟΓΙΣΜΟΙ!AW30,pin!$D$47:$T$47,0)))</f>
        <v>1</v>
      </c>
      <c r="BH30" s="210">
        <f>INDEX(pin!$D$48:$T$84,MATCH(ΥΠΟΛΟΓΙΣΜΟΙ!BE30,pin!$B$48:$B$84,0),MATCH(ΥΠΟΛΟΓΙΣΜΟΙ!AX30,pin!$D$47:$T$47,0))+0.4*(BE30-AF30)*(INDEX(pin!$D$48:$T$84,MATCH(ΥΠΟΛΟΓΙΣΜΟΙ!BE30,pin!$B$48:$B$84,0),MATCH(ΥΠΟΛΟΓΙΣΜΟΙ!AX30,pin!$D$47:$T$47,0))-INDEX(pin!$D$48:$T$84,MATCH(ΥΠΟΛΟΓΙΣΜΟΙ!BF30,pin!$B$48:$B$84,0),MATCH(ΥΠΟΛΟΓΙΣΜΟΙ!AX30,pin!$D$47:$T$47,0)))</f>
        <v>1</v>
      </c>
      <c r="BI30" s="209">
        <f>INDEX(pin!$X$48:$AN$84,MATCH(ΥΠΟΛΟΓΙΣΜΟΙ!BE30,pin!$V$48:$V$84,0),MATCH(ΥΠΟΛΟΓΙΣΜΟΙ!AW30,pin!$X$47:$AN$47,0))+0.4*(BE30-AF30)*(INDEX(pin!$X$48:$AN$84,MATCH(ΥΠΟΛΟΓΙΣΜΟΙ!BE30,pin!$V$48:$V$84,0),MATCH(ΥΠΟΛΟΓΙΣΜΟΙ!AW30,pin!$X$47:$AN$47,0))-INDEX(pin!$X$48:$AN$84,MATCH(ΥΠΟΛΟΓΙΣΜΟΙ!BF30,pin!$V$48:$V$84,0),MATCH(ΥΠΟΛΟΓΙΣΜΟΙ!AW30,pin!$X$47:$AN$47,0)))</f>
        <v>1</v>
      </c>
      <c r="BJ30" s="225">
        <f>INDEX(pin!$X$48:$AN$84,MATCH(ΥΠΟΛΟΓΙΣΜΟΙ!BE30,pin!$V$48:$V$84,0),MATCH(ΥΠΟΛΟΓΙΣΜΟΙ!AX30,pin!$X$47:$AN$47,0))+0.4*(BE30-AF30)*(INDEX(pin!$X$48:$AN$84,MATCH(ΥΠΟΛΟΓΙΣΜΟΙ!BE30,pin!$V$48:$V$84,0),MATCH(ΥΠΟΛΟΓΙΣΜΟΙ!AX30,pin!$X$47:$AN$47,0))-INDEX(pin!$X$48:$AN$84,MATCH(ΥΠΟΛΟΓΙΣΜΟΙ!BF30,pin!$V$48:$V$84,0),MATCH(ΥΠΟΛΟΓΙΣΜΟΙ!AX30,pin!$X$47:$AN$47,0)))</f>
        <v>1</v>
      </c>
      <c r="BK30" s="209">
        <f t="shared" si="24"/>
        <v>0</v>
      </c>
      <c r="BL30" s="210">
        <f t="shared" si="25"/>
        <v>0</v>
      </c>
      <c r="BM30" s="210">
        <f>INDEX(pin!$X$48:$AN$84,MATCH(ΥΠΟΛΟΓΙΣΜΟΙ!BK30,pin!$V$48:$V$84,0),MATCH(ΥΠΟΛΟΓΙΣΜΟΙ!AW30,pin!$X$47:$AN$47,0))+0.4*(BK30-AG30)*(INDEX(pin!$X$48:$AN$84,MATCH(ΥΠΟΛΟΓΙΣΜΟΙ!BK30,pin!$V$48:$V$84,0),MATCH(ΥΠΟΛΟΓΙΣΜΟΙ!AW30,pin!$X$47:$AN$47,0))-INDEX(pin!$X$48:$AN$84,MATCH(ΥΠΟΛΟΓΙΣΜΟΙ!BL30,pin!$V$48:$V$84,0),MATCH(ΥΠΟΛΟΓΙΣΜΟΙ!AW30,pin!$X$47:$AN$47,0)))</f>
        <v>1</v>
      </c>
      <c r="BN30" s="225">
        <f>INDEX(pin!$X$48:$AN$84,MATCH(ΥΠΟΛΟΓΙΣΜΟΙ!BK30,pin!$V$48:$V$84,0),MATCH(ΥΠΟΛΟΓΙΣΜΟΙ!AX30,pin!$X$47:$AN$47,0))+0.4*(BK30-AG30)*(INDEX(pin!$X$48:$AN$84,MATCH(ΥΠΟΛΟΓΙΣΜΟΙ!BK30,pin!$V$48:$V$84,0),MATCH(ΥΠΟΛΟΓΙΣΜΟΙ!AX30,pin!$X$47:$AN$47,0))-INDEX(pin!$X$48:$AN$84,MATCH(ΥΠΟΛΟΓΙΣΜΟΙ!BL30,pin!$V$48:$V$84,0),MATCH(ΥΠΟΛΟΓΙΣΜΟΙ!AX30,pin!$X$47:$AN$47,0)))</f>
        <v>1</v>
      </c>
      <c r="BO30" s="209">
        <f t="shared" si="26"/>
        <v>0</v>
      </c>
      <c r="BP30" s="210">
        <f t="shared" si="27"/>
        <v>0</v>
      </c>
      <c r="BQ30" s="210">
        <f>INDEX(pin!$D$114:$T$132,MATCH(ΥΠΟΛΟΓΙΣΜΟΙ!BO30,pin!$B$114:$B$132,0),MATCH(ΥΠΟΛΟΓΙΣΜΟΙ!AW30,pin!$D$113:$T$113,0))+0.2*(BO30-AH30)*(INDEX(pin!$D$114:$T$132,MATCH(ΥΠΟΛΟΓΙΣΜΟΙ!BO30,pin!$B$114:$B$132,0),MATCH(ΥΠΟΛΟΓΙΣΜΟΙ!AW30,pin!$D$113:$T$113,0))-INDEX(pin!$D$114:$T$132,MATCH(ΥΠΟΛΟΓΙΣΜΟΙ!BP30,pin!$B$114:$B$132,0),MATCH(ΥΠΟΛΟΓΙΣΜΟΙ!AW30,pin!$D$113:$T$113,0)))</f>
        <v>1</v>
      </c>
      <c r="BR30" s="210">
        <f>INDEX(pin!$D$114:$T$132,MATCH(ΥΠΟΛΟΓΙΣΜΟΙ!BO30,pin!$B$114:$B$132,0),MATCH(ΥΠΟΛΟΓΙΣΜΟΙ!AX30,pin!$D$113:$T$113,0))+0.2*(BO30-AH30)*(INDEX(pin!$D$114:$T$132,MATCH(ΥΠΟΛΟΓΙΣΜΟΙ!BO30,pin!$B$114:$B$132,0),MATCH(ΥΠΟΛΟΓΙΣΜΟΙ!AX30,pin!$D$113:$T$113,0))-INDEX(pin!$D$114:$T$132,MATCH(ΥΠΟΛΟΓΙΣΜΟΙ!BP30,pin!$B$114:$B$132,0),MATCH(ΥΠΟΛΟΓΙΣΜΟΙ!AX30,pin!$D$113:$T$113,0)))</f>
        <v>1</v>
      </c>
      <c r="BS30" s="209">
        <f>INDEX(pin!$X$114:$AN$132,MATCH(ΥΠΟΛΟΓΙΣΜΟΙ!BO30,pin!$V$114:$V$132,0),MATCH(ΥΠΟΛΟΓΙΣΜΟΙ!AW30,pin!$X$113:$AN$113,0))+0.2*(BO30-AH30)*(INDEX(pin!$X$114:$AN$132,MATCH(ΥΠΟΛΟΓΙΣΜΟΙ!BO30,pin!$V$114:$V$132,0),MATCH(ΥΠΟΛΟΓΙΣΜΟΙ!AW30,pin!$X$113:$AN$113,0))-INDEX(pin!$X$114:$AN$132,MATCH(ΥΠΟΛΟΓΙΣΜΟΙ!BP30,pin!$V$114:$V$132,0),MATCH(ΥΠΟΛΟΓΙΣΜΟΙ!AW30,pin!$X$113:$AN$113,0)))</f>
        <v>1</v>
      </c>
      <c r="BT30" s="225">
        <f>INDEX(pin!$X$114:$AN$132,MATCH(ΥΠΟΛΟΓΙΣΜΟΙ!BO30,pin!$V$114:$V$132,0),MATCH(ΥΠΟΛΟΓΙΣΜΟΙ!AX30,pin!$X$113:$AN$113,0))+0.2*(BO30-AH30)*(INDEX(pin!$X$114:$AN$132,MATCH(ΥΠΟΛΟΓΙΣΜΟΙ!BO30,pin!$V$114:$V$132,0),MATCH(ΥΠΟΛΟΓΙΣΜΟΙ!AX30,pin!$X$113:$AN$113,0))-INDEX(pin!$X$114:$AN$132,MATCH(ΥΠΟΛΟΓΙΣΜΟΙ!BP30,pin!$V$114:$V$132,0),MATCH(ΥΠΟΛΟΓΙΣΜΟΙ!AX30,pin!$X$113:$AN$113,0)))</f>
        <v>1</v>
      </c>
      <c r="BU30" s="209">
        <f t="shared" si="28"/>
        <v>0</v>
      </c>
      <c r="BV30" s="210">
        <f t="shared" si="29"/>
        <v>0</v>
      </c>
      <c r="BW30" s="210">
        <f>INDEX(pin!$D$90:$T$108,MATCH(ΥΠΟΛΟΓΙΣΜΟΙ!BU30,pin!$B$90:$B$108,0),MATCH(ΥΠΟΛΟΓΙΣΜΟΙ!AW30,pin!$D$89:$T$89,0))+0.2*(BU30-AI30)*(INDEX(pin!$D$90:$T$108,MATCH(ΥΠΟΛΟΓΙΣΜΟΙ!BU30,pin!$B$90:$B$108,0),MATCH(ΥΠΟΛΟΓΙΣΜΟΙ!AW30,pin!$D$89:$T$89,0))-INDEX(pin!$D$90:$T$108,MATCH(ΥΠΟΛΟΓΙΣΜΟΙ!BV30,pin!$B$90:$B$108,0),MATCH(ΥΠΟΛΟΓΙΣΜΟΙ!AW30,pin!$D$89:$T$89,0)))</f>
        <v>1</v>
      </c>
      <c r="BX30" s="225">
        <f>INDEX(pin!$D$90:$T$108,MATCH(ΥΠΟΛΟΓΙΣΜΟΙ!BU30,pin!$B$90:$B$108,0),MATCH(ΥΠΟΛΟΓΙΣΜΟΙ!AX30,pin!$D$89:$T$89,0))+0.2*(BU30-AI30)*(INDEX(pin!$D$90:$T$108,MATCH(ΥΠΟΛΟΓΙΣΜΟΙ!BU30,pin!$B$90:$B$108,0),MATCH(ΥΠΟΛΟΓΙΣΜΟΙ!AX30,pin!$D$89:$T$89,0))-INDEX(pin!$D$90:$T$108,MATCH(ΥΠΟΛΟΓΙΣΜΟΙ!BV30,pin!$B$90:$B$108,0),MATCH(ΥΠΟΛΟΓΙΣΜΟΙ!AX30,pin!$D$89:$T$89,0)))</f>
        <v>1</v>
      </c>
      <c r="BY30" s="210">
        <f>INDEX(pin!$X$90:$AN$108,MATCH(ΥΠΟΛΟΓΙΣΜΟΙ!BU30,pin!$V$90:$V$108,0),MATCH(ΥΠΟΛΟΓΙΣΜΟΙ!AW30,pin!$X$89:$AN$89,0))+0.2*(BU30-AI30)*(INDEX(pin!$X$90:$AN$108,MATCH(ΥΠΟΛΟΓΙΣΜΟΙ!BU30,pin!$V$90:$V$108,0),MATCH(ΥΠΟΛΟΓΙΣΜΟΙ!AW30,pin!$X$89:$AN$89,0))-INDEX(pin!$X$90:$AN$108,MATCH(ΥΠΟΛΟΓΙΣΜΟΙ!BV30,pin!$V$90:$V$108,0),MATCH(ΥΠΟΛΟΓΙΣΜΟΙ!AW30,pin!$X$89:$AN$89,0)))</f>
        <v>1</v>
      </c>
      <c r="BZ30" s="225">
        <f>INDEX(pin!$X$90:$AN$108,MATCH(ΥΠΟΛΟΓΙΣΜΟΙ!BU30,pin!$V$90:$V$108,0),MATCH(ΥΠΟΛΟΓΙΣΜΟΙ!AX30,pin!$X$89:$AN$89,0))+0.2*(BU30-AI30)*(INDEX(pin!$X$90:$AN$108,MATCH(ΥΠΟΛΟΓΙΣΜΟΙ!BU30,pin!$V$90:$V$108,0),MATCH(ΥΠΟΛΟΓΙΣΜΟΙ!AX30,pin!$X$89:$AN$89,0))-INDEX(pin!$X$90:$AN$108,MATCH(ΥΠΟΛΟΓΙΣΜΟΙ!BV30,pin!$V$90:$V$108,0),MATCH(ΥΠΟΛΟΓΙΣΜΟΙ!AX30,pin!$X$89:$AN$89,0)))</f>
        <v>1</v>
      </c>
      <c r="CA30" s="213"/>
    </row>
    <row r="31" spans="1:113">
      <c r="A31" s="56">
        <v>14</v>
      </c>
      <c r="B31" s="128"/>
      <c r="C31" s="126"/>
      <c r="D31" s="126"/>
      <c r="E31" s="47" t="str">
        <f t="shared" si="1"/>
        <v>-</v>
      </c>
      <c r="F31" s="126"/>
      <c r="G31" s="269" t="str">
        <f t="shared" si="2"/>
        <v>-</v>
      </c>
      <c r="H31" s="270"/>
      <c r="I31" s="126"/>
      <c r="J31" s="126"/>
      <c r="K31" s="265" t="str">
        <f t="shared" si="3"/>
        <v>-</v>
      </c>
      <c r="L31" s="264"/>
      <c r="M31" s="129"/>
      <c r="N31" s="200" t="str">
        <f>IF(L31="","-",IFERROR(IF(C31&lt;0,"-",INDEX(pin!$AR$6:$AR$22,MATCH(MROUND(ΥΠΟΛΟΓΙΣΜΟΙ!L31,22.5),pin!$AQ$6:$AQ$22))),"-"))</f>
        <v>-</v>
      </c>
      <c r="O31" s="46">
        <f t="shared" si="4"/>
        <v>1</v>
      </c>
      <c r="P31" s="130">
        <f t="shared" si="30"/>
        <v>1</v>
      </c>
      <c r="Q31" s="46">
        <f t="shared" si="5"/>
        <v>1</v>
      </c>
      <c r="R31" s="130">
        <f t="shared" si="6"/>
        <v>1</v>
      </c>
      <c r="S31" s="46">
        <f t="shared" si="7"/>
        <v>1</v>
      </c>
      <c r="T31" s="130">
        <f t="shared" si="8"/>
        <v>1</v>
      </c>
      <c r="U31" s="131"/>
      <c r="V31" s="132"/>
      <c r="W31" s="126"/>
      <c r="X31" s="127"/>
      <c r="Y31" s="182"/>
      <c r="Z31" s="132"/>
      <c r="AA31" s="126"/>
      <c r="AB31" s="126"/>
      <c r="AC31" s="131"/>
      <c r="AD31" s="127"/>
      <c r="AE31" s="226">
        <f t="shared" si="0"/>
        <v>0</v>
      </c>
      <c r="AF31" s="202">
        <f t="shared" si="9"/>
        <v>0</v>
      </c>
      <c r="AG31" s="202">
        <f t="shared" si="10"/>
        <v>0</v>
      </c>
      <c r="AH31" s="202">
        <f t="shared" si="11"/>
        <v>0</v>
      </c>
      <c r="AI31" s="202">
        <f t="shared" si="12"/>
        <v>0</v>
      </c>
      <c r="AJ31" s="203">
        <f t="shared" si="13"/>
        <v>1</v>
      </c>
      <c r="AK31" s="203">
        <f t="shared" si="14"/>
        <v>1</v>
      </c>
      <c r="AL31" s="203">
        <f t="shared" si="15"/>
        <v>1</v>
      </c>
      <c r="AM31" s="203">
        <f t="shared" si="16"/>
        <v>1</v>
      </c>
      <c r="AN31" s="209">
        <f t="shared" si="17"/>
        <v>0</v>
      </c>
      <c r="AO31" s="210"/>
      <c r="AP31" s="210"/>
      <c r="AQ31" s="210"/>
      <c r="AR31" s="210"/>
      <c r="AS31" s="210"/>
      <c r="AT31" s="210"/>
      <c r="AU31" s="210"/>
      <c r="AV31" s="210" t="s">
        <v>268</v>
      </c>
      <c r="AW31" s="210">
        <f t="shared" si="18"/>
        <v>0</v>
      </c>
      <c r="AX31" s="225">
        <f t="shared" si="19"/>
        <v>0</v>
      </c>
      <c r="AY31" s="209">
        <f t="shared" si="20"/>
        <v>0</v>
      </c>
      <c r="AZ31" s="210">
        <f t="shared" si="21"/>
        <v>0</v>
      </c>
      <c r="BA31" s="210">
        <f>INDEX(pin!$D$6:$T$42,MATCH(ΥΠΟΛΟΓΙΣΜΟΙ!AY31,pin!$B$6:$B$42,0),MATCH(ΥΠΟΛΟΓΙΣΜΟΙ!AW31,pin!$D$5:$T$5,0))+0.4*(AY31-AE31)*(INDEX(pin!$D$6:$T$42,MATCH(ΥΠΟΛΟΓΙΣΜΟΙ!AY31,pin!$B$6:$B$42,0),MATCH(ΥΠΟΛΟΓΙΣΜΟΙ!AW31,pin!$D$5:$T$5,0))-INDEX(pin!$D$6:$T$42,MATCH(ΥΠΟΛΟΓΙΣΜΟΙ!AZ31,pin!$B$6:$B$42,0),MATCH(ΥΠΟΛΟΓΙΣΜΟΙ!AW31,pin!$D$5:$T$5,0)))</f>
        <v>1</v>
      </c>
      <c r="BB31" s="225">
        <f>INDEX(pin!$D$6:$T$42,MATCH(ΥΠΟΛΟΓΙΣΜΟΙ!AY31,pin!$B$6:$B$42,0),MATCH(ΥΠΟΛΟΓΙΣΜΟΙ!AX31,pin!$D$5:$T$5,0))+0.4*(AY31-AE31)*(INDEX(pin!$D$6:$T$42,MATCH(ΥΠΟΛΟΓΙΣΜΟΙ!AY31,pin!$B$6:$B$42,0),MATCH(ΥΠΟΛΟΓΙΣΜΟΙ!AX31,pin!$D$5:$T$5,0))-INDEX(pin!$D$6:$T$42,MATCH(ΥΠΟΛΟΓΙΣΜΟΙ!AZ31,pin!$B$6:$B$42,0),MATCH(ΥΠΟΛΟΓΙΣΜΟΙ!AX31,pin!$D$5:$T$5,0)))</f>
        <v>1</v>
      </c>
      <c r="BC31" s="210">
        <f>INDEX(pin!$X$6:$AN$42,MATCH(ΥΠΟΛΟΓΙΣΜΟΙ!AY31,pin!$V$6:$V$42,0),MATCH(ΥΠΟΛΟΓΙΣΜΟΙ!AW31,pin!$X$5:$AN$5,0))+0.4*(AY31-AE31)*(INDEX(pin!$X$6:$AN$42,MATCH(ΥΠΟΛΟΓΙΣΜΟΙ!AY31,pin!$V$6:$V$42,0),MATCH(ΥΠΟΛΟΓΙΣΜΟΙ!AW31,pin!$X$5:$AN$5,0))-INDEX(pin!$X$6:$AN$42,MATCH(ΥΠΟΛΟΓΙΣΜΟΙ!AZ31,pin!$V$6:$V$42,0),MATCH(ΥΠΟΛΟΓΙΣΜΟΙ!AW31,pin!$X$5:$AN$5,0)))</f>
        <v>1</v>
      </c>
      <c r="BD31" s="210">
        <f>INDEX(pin!$X$6:$AN$42,MATCH(ΥΠΟΛΟΓΙΣΜΟΙ!AY31,pin!$V$6:$V$42,0),MATCH(ΥΠΟΛΟΓΙΣΜΟΙ!AX31,pin!$X$5:$AN$5,0))+0.4*(AY31-AE31)*(INDEX(pin!$X$6:$AN$42,MATCH(ΥΠΟΛΟΓΙΣΜΟΙ!AY31,pin!$V$6:$V$42,0),MATCH(ΥΠΟΛΟΓΙΣΜΟΙ!AX31,pin!$X$5:$AN$5,0))-INDEX(pin!$X$6:$AN$42,MATCH(ΥΠΟΛΟΓΙΣΜΟΙ!AZ31,pin!$V$6:$V$42,0),MATCH(ΥΠΟΛΟΓΙΣΜΟΙ!AX31,pin!$X$5:$AN$5,0)))</f>
        <v>1</v>
      </c>
      <c r="BE31" s="209">
        <f t="shared" si="22"/>
        <v>0</v>
      </c>
      <c r="BF31" s="210">
        <f t="shared" si="23"/>
        <v>0</v>
      </c>
      <c r="BG31" s="210">
        <f>INDEX(pin!$D$48:$T$84,MATCH(ΥΠΟΛΟΓΙΣΜΟΙ!BE31,pin!$B$48:$B$84,0),MATCH(ΥΠΟΛΟΓΙΣΜΟΙ!AW31,pin!$D$47:$T$47,0))+0.4*(BE31-AF31)*(INDEX(pin!$D$48:$T$84,MATCH(ΥΠΟΛΟΓΙΣΜΟΙ!BE31,pin!$B$48:$B$84,0),MATCH(ΥΠΟΛΟΓΙΣΜΟΙ!AW31,pin!$D$47:$T$47,0))-INDEX(pin!$D$48:$T$84,MATCH(ΥΠΟΛΟΓΙΣΜΟΙ!BF31,pin!$B$48:$B$84,0),MATCH(ΥΠΟΛΟΓΙΣΜΟΙ!AW31,pin!$D$47:$T$47,0)))</f>
        <v>1</v>
      </c>
      <c r="BH31" s="210">
        <f>INDEX(pin!$D$48:$T$84,MATCH(ΥΠΟΛΟΓΙΣΜΟΙ!BE31,pin!$B$48:$B$84,0),MATCH(ΥΠΟΛΟΓΙΣΜΟΙ!AX31,pin!$D$47:$T$47,0))+0.4*(BE31-AF31)*(INDEX(pin!$D$48:$T$84,MATCH(ΥΠΟΛΟΓΙΣΜΟΙ!BE31,pin!$B$48:$B$84,0),MATCH(ΥΠΟΛΟΓΙΣΜΟΙ!AX31,pin!$D$47:$T$47,0))-INDEX(pin!$D$48:$T$84,MATCH(ΥΠΟΛΟΓΙΣΜΟΙ!BF31,pin!$B$48:$B$84,0),MATCH(ΥΠΟΛΟΓΙΣΜΟΙ!AX31,pin!$D$47:$T$47,0)))</f>
        <v>1</v>
      </c>
      <c r="BI31" s="209">
        <f>INDEX(pin!$X$48:$AN$84,MATCH(ΥΠΟΛΟΓΙΣΜΟΙ!BE31,pin!$V$48:$V$84,0),MATCH(ΥΠΟΛΟΓΙΣΜΟΙ!AW31,pin!$X$47:$AN$47,0))+0.4*(BE31-AF31)*(INDEX(pin!$X$48:$AN$84,MATCH(ΥΠΟΛΟΓΙΣΜΟΙ!BE31,pin!$V$48:$V$84,0),MATCH(ΥΠΟΛΟΓΙΣΜΟΙ!AW31,pin!$X$47:$AN$47,0))-INDEX(pin!$X$48:$AN$84,MATCH(ΥΠΟΛΟΓΙΣΜΟΙ!BF31,pin!$V$48:$V$84,0),MATCH(ΥΠΟΛΟΓΙΣΜΟΙ!AW31,pin!$X$47:$AN$47,0)))</f>
        <v>1</v>
      </c>
      <c r="BJ31" s="225">
        <f>INDEX(pin!$X$48:$AN$84,MATCH(ΥΠΟΛΟΓΙΣΜΟΙ!BE31,pin!$V$48:$V$84,0),MATCH(ΥΠΟΛΟΓΙΣΜΟΙ!AX31,pin!$X$47:$AN$47,0))+0.4*(BE31-AF31)*(INDEX(pin!$X$48:$AN$84,MATCH(ΥΠΟΛΟΓΙΣΜΟΙ!BE31,pin!$V$48:$V$84,0),MATCH(ΥΠΟΛΟΓΙΣΜΟΙ!AX31,pin!$X$47:$AN$47,0))-INDEX(pin!$X$48:$AN$84,MATCH(ΥΠΟΛΟΓΙΣΜΟΙ!BF31,pin!$V$48:$V$84,0),MATCH(ΥΠΟΛΟΓΙΣΜΟΙ!AX31,pin!$X$47:$AN$47,0)))</f>
        <v>1</v>
      </c>
      <c r="BK31" s="209">
        <f t="shared" si="24"/>
        <v>0</v>
      </c>
      <c r="BL31" s="210">
        <f t="shared" si="25"/>
        <v>0</v>
      </c>
      <c r="BM31" s="210">
        <f>INDEX(pin!$X$48:$AN$84,MATCH(ΥΠΟΛΟΓΙΣΜΟΙ!BK31,pin!$V$48:$V$84,0),MATCH(ΥΠΟΛΟΓΙΣΜΟΙ!AW31,pin!$X$47:$AN$47,0))+0.4*(BK31-AG31)*(INDEX(pin!$X$48:$AN$84,MATCH(ΥΠΟΛΟΓΙΣΜΟΙ!BK31,pin!$V$48:$V$84,0),MATCH(ΥΠΟΛΟΓΙΣΜΟΙ!AW31,pin!$X$47:$AN$47,0))-INDEX(pin!$X$48:$AN$84,MATCH(ΥΠΟΛΟΓΙΣΜΟΙ!BL31,pin!$V$48:$V$84,0),MATCH(ΥΠΟΛΟΓΙΣΜΟΙ!AW31,pin!$X$47:$AN$47,0)))</f>
        <v>1</v>
      </c>
      <c r="BN31" s="225">
        <f>INDEX(pin!$X$48:$AN$84,MATCH(ΥΠΟΛΟΓΙΣΜΟΙ!BK31,pin!$V$48:$V$84,0),MATCH(ΥΠΟΛΟΓΙΣΜΟΙ!AX31,pin!$X$47:$AN$47,0))+0.4*(BK31-AG31)*(INDEX(pin!$X$48:$AN$84,MATCH(ΥΠΟΛΟΓΙΣΜΟΙ!BK31,pin!$V$48:$V$84,0),MATCH(ΥΠΟΛΟΓΙΣΜΟΙ!AX31,pin!$X$47:$AN$47,0))-INDEX(pin!$X$48:$AN$84,MATCH(ΥΠΟΛΟΓΙΣΜΟΙ!BL31,pin!$V$48:$V$84,0),MATCH(ΥΠΟΛΟΓΙΣΜΟΙ!AX31,pin!$X$47:$AN$47,0)))</f>
        <v>1</v>
      </c>
      <c r="BO31" s="209">
        <f t="shared" si="26"/>
        <v>0</v>
      </c>
      <c r="BP31" s="210">
        <f t="shared" si="27"/>
        <v>0</v>
      </c>
      <c r="BQ31" s="210">
        <f>INDEX(pin!$D$114:$T$132,MATCH(ΥΠΟΛΟΓΙΣΜΟΙ!BO31,pin!$B$114:$B$132,0),MATCH(ΥΠΟΛΟΓΙΣΜΟΙ!AW31,pin!$D$113:$T$113,0))+0.2*(BO31-AH31)*(INDEX(pin!$D$114:$T$132,MATCH(ΥΠΟΛΟΓΙΣΜΟΙ!BO31,pin!$B$114:$B$132,0),MATCH(ΥΠΟΛΟΓΙΣΜΟΙ!AW31,pin!$D$113:$T$113,0))-INDEX(pin!$D$114:$T$132,MATCH(ΥΠΟΛΟΓΙΣΜΟΙ!BP31,pin!$B$114:$B$132,0),MATCH(ΥΠΟΛΟΓΙΣΜΟΙ!AW31,pin!$D$113:$T$113,0)))</f>
        <v>1</v>
      </c>
      <c r="BR31" s="210">
        <f>INDEX(pin!$D$114:$T$132,MATCH(ΥΠΟΛΟΓΙΣΜΟΙ!BO31,pin!$B$114:$B$132,0),MATCH(ΥΠΟΛΟΓΙΣΜΟΙ!AX31,pin!$D$113:$T$113,0))+0.2*(BO31-AH31)*(INDEX(pin!$D$114:$T$132,MATCH(ΥΠΟΛΟΓΙΣΜΟΙ!BO31,pin!$B$114:$B$132,0),MATCH(ΥΠΟΛΟΓΙΣΜΟΙ!AX31,pin!$D$113:$T$113,0))-INDEX(pin!$D$114:$T$132,MATCH(ΥΠΟΛΟΓΙΣΜΟΙ!BP31,pin!$B$114:$B$132,0),MATCH(ΥΠΟΛΟΓΙΣΜΟΙ!AX31,pin!$D$113:$T$113,0)))</f>
        <v>1</v>
      </c>
      <c r="BS31" s="209">
        <f>INDEX(pin!$X$114:$AN$132,MATCH(ΥΠΟΛΟΓΙΣΜΟΙ!BO31,pin!$V$114:$V$132,0),MATCH(ΥΠΟΛΟΓΙΣΜΟΙ!AW31,pin!$X$113:$AN$113,0))+0.2*(BO31-AH31)*(INDEX(pin!$X$114:$AN$132,MATCH(ΥΠΟΛΟΓΙΣΜΟΙ!BO31,pin!$V$114:$V$132,0),MATCH(ΥΠΟΛΟΓΙΣΜΟΙ!AW31,pin!$X$113:$AN$113,0))-INDEX(pin!$X$114:$AN$132,MATCH(ΥΠΟΛΟΓΙΣΜΟΙ!BP31,pin!$V$114:$V$132,0),MATCH(ΥΠΟΛΟΓΙΣΜΟΙ!AW31,pin!$X$113:$AN$113,0)))</f>
        <v>1</v>
      </c>
      <c r="BT31" s="225">
        <f>INDEX(pin!$X$114:$AN$132,MATCH(ΥΠΟΛΟΓΙΣΜΟΙ!BO31,pin!$V$114:$V$132,0),MATCH(ΥΠΟΛΟΓΙΣΜΟΙ!AX31,pin!$X$113:$AN$113,0))+0.2*(BO31-AH31)*(INDEX(pin!$X$114:$AN$132,MATCH(ΥΠΟΛΟΓΙΣΜΟΙ!BO31,pin!$V$114:$V$132,0),MATCH(ΥΠΟΛΟΓΙΣΜΟΙ!AX31,pin!$X$113:$AN$113,0))-INDEX(pin!$X$114:$AN$132,MATCH(ΥΠΟΛΟΓΙΣΜΟΙ!BP31,pin!$V$114:$V$132,0),MATCH(ΥΠΟΛΟΓΙΣΜΟΙ!AX31,pin!$X$113:$AN$113,0)))</f>
        <v>1</v>
      </c>
      <c r="BU31" s="209">
        <f t="shared" si="28"/>
        <v>0</v>
      </c>
      <c r="BV31" s="210">
        <f t="shared" si="29"/>
        <v>0</v>
      </c>
      <c r="BW31" s="210">
        <f>INDEX(pin!$D$90:$T$108,MATCH(ΥΠΟΛΟΓΙΣΜΟΙ!BU31,pin!$B$90:$B$108,0),MATCH(ΥΠΟΛΟΓΙΣΜΟΙ!AW31,pin!$D$89:$T$89,0))+0.2*(BU31-AI31)*(INDEX(pin!$D$90:$T$108,MATCH(ΥΠΟΛΟΓΙΣΜΟΙ!BU31,pin!$B$90:$B$108,0),MATCH(ΥΠΟΛΟΓΙΣΜΟΙ!AW31,pin!$D$89:$T$89,0))-INDEX(pin!$D$90:$T$108,MATCH(ΥΠΟΛΟΓΙΣΜΟΙ!BV31,pin!$B$90:$B$108,0),MATCH(ΥΠΟΛΟΓΙΣΜΟΙ!AW31,pin!$D$89:$T$89,0)))</f>
        <v>1</v>
      </c>
      <c r="BX31" s="225">
        <f>INDEX(pin!$D$90:$T$108,MATCH(ΥΠΟΛΟΓΙΣΜΟΙ!BU31,pin!$B$90:$B$108,0),MATCH(ΥΠΟΛΟΓΙΣΜΟΙ!AX31,pin!$D$89:$T$89,0))+0.2*(BU31-AI31)*(INDEX(pin!$D$90:$T$108,MATCH(ΥΠΟΛΟΓΙΣΜΟΙ!BU31,pin!$B$90:$B$108,0),MATCH(ΥΠΟΛΟΓΙΣΜΟΙ!AX31,pin!$D$89:$T$89,0))-INDEX(pin!$D$90:$T$108,MATCH(ΥΠΟΛΟΓΙΣΜΟΙ!BV31,pin!$B$90:$B$108,0),MATCH(ΥΠΟΛΟΓΙΣΜΟΙ!AX31,pin!$D$89:$T$89,0)))</f>
        <v>1</v>
      </c>
      <c r="BY31" s="210">
        <f>INDEX(pin!$X$90:$AN$108,MATCH(ΥΠΟΛΟΓΙΣΜΟΙ!BU31,pin!$V$90:$V$108,0),MATCH(ΥΠΟΛΟΓΙΣΜΟΙ!AW31,pin!$X$89:$AN$89,0))+0.2*(BU31-AI31)*(INDEX(pin!$X$90:$AN$108,MATCH(ΥΠΟΛΟΓΙΣΜΟΙ!BU31,pin!$V$90:$V$108,0),MATCH(ΥΠΟΛΟΓΙΣΜΟΙ!AW31,pin!$X$89:$AN$89,0))-INDEX(pin!$X$90:$AN$108,MATCH(ΥΠΟΛΟΓΙΣΜΟΙ!BV31,pin!$V$90:$V$108,0),MATCH(ΥΠΟΛΟΓΙΣΜΟΙ!AW31,pin!$X$89:$AN$89,0)))</f>
        <v>1</v>
      </c>
      <c r="BZ31" s="225">
        <f>INDEX(pin!$X$90:$AN$108,MATCH(ΥΠΟΛΟΓΙΣΜΟΙ!BU31,pin!$V$90:$V$108,0),MATCH(ΥΠΟΛΟΓΙΣΜΟΙ!AX31,pin!$X$89:$AN$89,0))+0.2*(BU31-AI31)*(INDEX(pin!$X$90:$AN$108,MATCH(ΥΠΟΛΟΓΙΣΜΟΙ!BU31,pin!$V$90:$V$108,0),MATCH(ΥΠΟΛΟΓΙΣΜΟΙ!AX31,pin!$X$89:$AN$89,0))-INDEX(pin!$X$90:$AN$108,MATCH(ΥΠΟΛΟΓΙΣΜΟΙ!BV31,pin!$V$90:$V$108,0),MATCH(ΥΠΟΛΟΓΙΣΜΟΙ!AX31,pin!$X$89:$AN$89,0)))</f>
        <v>1</v>
      </c>
      <c r="CA31" s="213"/>
    </row>
    <row r="32" spans="1:113">
      <c r="A32" s="56">
        <v>15</v>
      </c>
      <c r="B32" s="128"/>
      <c r="C32" s="126"/>
      <c r="D32" s="126"/>
      <c r="E32" s="47" t="str">
        <f t="shared" si="1"/>
        <v>-</v>
      </c>
      <c r="F32" s="126"/>
      <c r="G32" s="269" t="str">
        <f t="shared" si="2"/>
        <v>-</v>
      </c>
      <c r="H32" s="270"/>
      <c r="I32" s="126"/>
      <c r="J32" s="126"/>
      <c r="K32" s="265" t="str">
        <f t="shared" si="3"/>
        <v>-</v>
      </c>
      <c r="L32" s="264"/>
      <c r="M32" s="129"/>
      <c r="N32" s="200" t="str">
        <f>IF(L32="","-",IFERROR(IF(C32&lt;0,"-",INDEX(pin!$AR$6:$AR$22,MATCH(MROUND(ΥΠΟΛΟΓΙΣΜΟΙ!L32,22.5),pin!$AQ$6:$AQ$22))),"-"))</f>
        <v>-</v>
      </c>
      <c r="O32" s="46">
        <f t="shared" si="4"/>
        <v>1</v>
      </c>
      <c r="P32" s="130">
        <f t="shared" si="30"/>
        <v>1</v>
      </c>
      <c r="Q32" s="46">
        <f t="shared" si="5"/>
        <v>1</v>
      </c>
      <c r="R32" s="130">
        <f t="shared" si="6"/>
        <v>1</v>
      </c>
      <c r="S32" s="46">
        <f t="shared" si="7"/>
        <v>1</v>
      </c>
      <c r="T32" s="130">
        <f t="shared" si="8"/>
        <v>1</v>
      </c>
      <c r="U32" s="131"/>
      <c r="V32" s="132"/>
      <c r="W32" s="126"/>
      <c r="X32" s="127"/>
      <c r="Y32" s="182"/>
      <c r="Z32" s="132"/>
      <c r="AA32" s="126"/>
      <c r="AB32" s="126"/>
      <c r="AC32" s="131"/>
      <c r="AD32" s="127"/>
      <c r="AE32" s="226">
        <f t="shared" si="0"/>
        <v>0</v>
      </c>
      <c r="AF32" s="202">
        <f t="shared" si="9"/>
        <v>0</v>
      </c>
      <c r="AG32" s="202">
        <f t="shared" si="10"/>
        <v>0</v>
      </c>
      <c r="AH32" s="202">
        <f t="shared" si="11"/>
        <v>0</v>
      </c>
      <c r="AI32" s="202">
        <f t="shared" si="12"/>
        <v>0</v>
      </c>
      <c r="AJ32" s="203">
        <f t="shared" si="13"/>
        <v>1</v>
      </c>
      <c r="AK32" s="203">
        <f t="shared" si="14"/>
        <v>1</v>
      </c>
      <c r="AL32" s="203">
        <f t="shared" si="15"/>
        <v>1</v>
      </c>
      <c r="AM32" s="203">
        <f t="shared" si="16"/>
        <v>1</v>
      </c>
      <c r="AN32" s="209">
        <f t="shared" si="17"/>
        <v>0</v>
      </c>
      <c r="AO32" s="210"/>
      <c r="AP32" s="210"/>
      <c r="AQ32" s="210"/>
      <c r="AR32" s="210"/>
      <c r="AS32" s="210"/>
      <c r="AT32" s="210"/>
      <c r="AU32" s="210"/>
      <c r="AV32" s="210" t="s">
        <v>268</v>
      </c>
      <c r="AW32" s="210">
        <f t="shared" si="18"/>
        <v>0</v>
      </c>
      <c r="AX32" s="225">
        <f t="shared" si="19"/>
        <v>0</v>
      </c>
      <c r="AY32" s="209">
        <f t="shared" si="20"/>
        <v>0</v>
      </c>
      <c r="AZ32" s="210">
        <f t="shared" si="21"/>
        <v>0</v>
      </c>
      <c r="BA32" s="210">
        <f>INDEX(pin!$D$6:$T$42,MATCH(ΥΠΟΛΟΓΙΣΜΟΙ!AY32,pin!$B$6:$B$42,0),MATCH(ΥΠΟΛΟΓΙΣΜΟΙ!AW32,pin!$D$5:$T$5,0))+0.4*(AY32-AE32)*(INDEX(pin!$D$6:$T$42,MATCH(ΥΠΟΛΟΓΙΣΜΟΙ!AY32,pin!$B$6:$B$42,0),MATCH(ΥΠΟΛΟΓΙΣΜΟΙ!AW32,pin!$D$5:$T$5,0))-INDEX(pin!$D$6:$T$42,MATCH(ΥΠΟΛΟΓΙΣΜΟΙ!AZ32,pin!$B$6:$B$42,0),MATCH(ΥΠΟΛΟΓΙΣΜΟΙ!AW32,pin!$D$5:$T$5,0)))</f>
        <v>1</v>
      </c>
      <c r="BB32" s="225">
        <f>INDEX(pin!$D$6:$T$42,MATCH(ΥΠΟΛΟΓΙΣΜΟΙ!AY32,pin!$B$6:$B$42,0),MATCH(ΥΠΟΛΟΓΙΣΜΟΙ!AX32,pin!$D$5:$T$5,0))+0.4*(AY32-AE32)*(INDEX(pin!$D$6:$T$42,MATCH(ΥΠΟΛΟΓΙΣΜΟΙ!AY32,pin!$B$6:$B$42,0),MATCH(ΥΠΟΛΟΓΙΣΜΟΙ!AX32,pin!$D$5:$T$5,0))-INDEX(pin!$D$6:$T$42,MATCH(ΥΠΟΛΟΓΙΣΜΟΙ!AZ32,pin!$B$6:$B$42,0),MATCH(ΥΠΟΛΟΓΙΣΜΟΙ!AX32,pin!$D$5:$T$5,0)))</f>
        <v>1</v>
      </c>
      <c r="BC32" s="210">
        <f>INDEX(pin!$X$6:$AN$42,MATCH(ΥΠΟΛΟΓΙΣΜΟΙ!AY32,pin!$V$6:$V$42,0),MATCH(ΥΠΟΛΟΓΙΣΜΟΙ!AW32,pin!$X$5:$AN$5,0))+0.4*(AY32-AE32)*(INDEX(pin!$X$6:$AN$42,MATCH(ΥΠΟΛΟΓΙΣΜΟΙ!AY32,pin!$V$6:$V$42,0),MATCH(ΥΠΟΛΟΓΙΣΜΟΙ!AW32,pin!$X$5:$AN$5,0))-INDEX(pin!$X$6:$AN$42,MATCH(ΥΠΟΛΟΓΙΣΜΟΙ!AZ32,pin!$V$6:$V$42,0),MATCH(ΥΠΟΛΟΓΙΣΜΟΙ!AW32,pin!$X$5:$AN$5,0)))</f>
        <v>1</v>
      </c>
      <c r="BD32" s="210">
        <f>INDEX(pin!$X$6:$AN$42,MATCH(ΥΠΟΛΟΓΙΣΜΟΙ!AY32,pin!$V$6:$V$42,0),MATCH(ΥΠΟΛΟΓΙΣΜΟΙ!AX32,pin!$X$5:$AN$5,0))+0.4*(AY32-AE32)*(INDEX(pin!$X$6:$AN$42,MATCH(ΥΠΟΛΟΓΙΣΜΟΙ!AY32,pin!$V$6:$V$42,0),MATCH(ΥΠΟΛΟΓΙΣΜΟΙ!AX32,pin!$X$5:$AN$5,0))-INDEX(pin!$X$6:$AN$42,MATCH(ΥΠΟΛΟΓΙΣΜΟΙ!AZ32,pin!$V$6:$V$42,0),MATCH(ΥΠΟΛΟΓΙΣΜΟΙ!AX32,pin!$X$5:$AN$5,0)))</f>
        <v>1</v>
      </c>
      <c r="BE32" s="209">
        <f t="shared" si="22"/>
        <v>0</v>
      </c>
      <c r="BF32" s="210">
        <f t="shared" si="23"/>
        <v>0</v>
      </c>
      <c r="BG32" s="210">
        <f>INDEX(pin!$D$48:$T$84,MATCH(ΥΠΟΛΟΓΙΣΜΟΙ!BE32,pin!$B$48:$B$84,0),MATCH(ΥΠΟΛΟΓΙΣΜΟΙ!AW32,pin!$D$47:$T$47,0))+0.4*(BE32-AF32)*(INDEX(pin!$D$48:$T$84,MATCH(ΥΠΟΛΟΓΙΣΜΟΙ!BE32,pin!$B$48:$B$84,0),MATCH(ΥΠΟΛΟΓΙΣΜΟΙ!AW32,pin!$D$47:$T$47,0))-INDEX(pin!$D$48:$T$84,MATCH(ΥΠΟΛΟΓΙΣΜΟΙ!BF32,pin!$B$48:$B$84,0),MATCH(ΥΠΟΛΟΓΙΣΜΟΙ!AW32,pin!$D$47:$T$47,0)))</f>
        <v>1</v>
      </c>
      <c r="BH32" s="210">
        <f>INDEX(pin!$D$48:$T$84,MATCH(ΥΠΟΛΟΓΙΣΜΟΙ!BE32,pin!$B$48:$B$84,0),MATCH(ΥΠΟΛΟΓΙΣΜΟΙ!AX32,pin!$D$47:$T$47,0))+0.4*(BE32-AF32)*(INDEX(pin!$D$48:$T$84,MATCH(ΥΠΟΛΟΓΙΣΜΟΙ!BE32,pin!$B$48:$B$84,0),MATCH(ΥΠΟΛΟΓΙΣΜΟΙ!AX32,pin!$D$47:$T$47,0))-INDEX(pin!$D$48:$T$84,MATCH(ΥΠΟΛΟΓΙΣΜΟΙ!BF32,pin!$B$48:$B$84,0),MATCH(ΥΠΟΛΟΓΙΣΜΟΙ!AX32,pin!$D$47:$T$47,0)))</f>
        <v>1</v>
      </c>
      <c r="BI32" s="209">
        <f>INDEX(pin!$X$48:$AN$84,MATCH(ΥΠΟΛΟΓΙΣΜΟΙ!BE32,pin!$V$48:$V$84,0),MATCH(ΥΠΟΛΟΓΙΣΜΟΙ!AW32,pin!$X$47:$AN$47,0))+0.4*(BE32-AF32)*(INDEX(pin!$X$48:$AN$84,MATCH(ΥΠΟΛΟΓΙΣΜΟΙ!BE32,pin!$V$48:$V$84,0),MATCH(ΥΠΟΛΟΓΙΣΜΟΙ!AW32,pin!$X$47:$AN$47,0))-INDEX(pin!$X$48:$AN$84,MATCH(ΥΠΟΛΟΓΙΣΜΟΙ!BF32,pin!$V$48:$V$84,0),MATCH(ΥΠΟΛΟΓΙΣΜΟΙ!AW32,pin!$X$47:$AN$47,0)))</f>
        <v>1</v>
      </c>
      <c r="BJ32" s="225">
        <f>INDEX(pin!$X$48:$AN$84,MATCH(ΥΠΟΛΟΓΙΣΜΟΙ!BE32,pin!$V$48:$V$84,0),MATCH(ΥΠΟΛΟΓΙΣΜΟΙ!AX32,pin!$X$47:$AN$47,0))+0.4*(BE32-AF32)*(INDEX(pin!$X$48:$AN$84,MATCH(ΥΠΟΛΟΓΙΣΜΟΙ!BE32,pin!$V$48:$V$84,0),MATCH(ΥΠΟΛΟΓΙΣΜΟΙ!AX32,pin!$X$47:$AN$47,0))-INDEX(pin!$X$48:$AN$84,MATCH(ΥΠΟΛΟΓΙΣΜΟΙ!BF32,pin!$V$48:$V$84,0),MATCH(ΥΠΟΛΟΓΙΣΜΟΙ!AX32,pin!$X$47:$AN$47,0)))</f>
        <v>1</v>
      </c>
      <c r="BK32" s="209">
        <f t="shared" si="24"/>
        <v>0</v>
      </c>
      <c r="BL32" s="210">
        <f t="shared" si="25"/>
        <v>0</v>
      </c>
      <c r="BM32" s="210">
        <f>INDEX(pin!$X$48:$AN$84,MATCH(ΥΠΟΛΟΓΙΣΜΟΙ!BK32,pin!$V$48:$V$84,0),MATCH(ΥΠΟΛΟΓΙΣΜΟΙ!AW32,pin!$X$47:$AN$47,0))+0.4*(BK32-AG32)*(INDEX(pin!$X$48:$AN$84,MATCH(ΥΠΟΛΟΓΙΣΜΟΙ!BK32,pin!$V$48:$V$84,0),MATCH(ΥΠΟΛΟΓΙΣΜΟΙ!AW32,pin!$X$47:$AN$47,0))-INDEX(pin!$X$48:$AN$84,MATCH(ΥΠΟΛΟΓΙΣΜΟΙ!BL32,pin!$V$48:$V$84,0),MATCH(ΥΠΟΛΟΓΙΣΜΟΙ!AW32,pin!$X$47:$AN$47,0)))</f>
        <v>1</v>
      </c>
      <c r="BN32" s="225">
        <f>INDEX(pin!$X$48:$AN$84,MATCH(ΥΠΟΛΟΓΙΣΜΟΙ!BK32,pin!$V$48:$V$84,0),MATCH(ΥΠΟΛΟΓΙΣΜΟΙ!AX32,pin!$X$47:$AN$47,0))+0.4*(BK32-AG32)*(INDEX(pin!$X$48:$AN$84,MATCH(ΥΠΟΛΟΓΙΣΜΟΙ!BK32,pin!$V$48:$V$84,0),MATCH(ΥΠΟΛΟΓΙΣΜΟΙ!AX32,pin!$X$47:$AN$47,0))-INDEX(pin!$X$48:$AN$84,MATCH(ΥΠΟΛΟΓΙΣΜΟΙ!BL32,pin!$V$48:$V$84,0),MATCH(ΥΠΟΛΟΓΙΣΜΟΙ!AX32,pin!$X$47:$AN$47,0)))</f>
        <v>1</v>
      </c>
      <c r="BO32" s="209">
        <f t="shared" si="26"/>
        <v>0</v>
      </c>
      <c r="BP32" s="210">
        <f t="shared" si="27"/>
        <v>0</v>
      </c>
      <c r="BQ32" s="210">
        <f>INDEX(pin!$D$114:$T$132,MATCH(ΥΠΟΛΟΓΙΣΜΟΙ!BO32,pin!$B$114:$B$132,0),MATCH(ΥΠΟΛΟΓΙΣΜΟΙ!AW32,pin!$D$113:$T$113,0))+0.2*(BO32-AH32)*(INDEX(pin!$D$114:$T$132,MATCH(ΥΠΟΛΟΓΙΣΜΟΙ!BO32,pin!$B$114:$B$132,0),MATCH(ΥΠΟΛΟΓΙΣΜΟΙ!AW32,pin!$D$113:$T$113,0))-INDEX(pin!$D$114:$T$132,MATCH(ΥΠΟΛΟΓΙΣΜΟΙ!BP32,pin!$B$114:$B$132,0),MATCH(ΥΠΟΛΟΓΙΣΜΟΙ!AW32,pin!$D$113:$T$113,0)))</f>
        <v>1</v>
      </c>
      <c r="BR32" s="210">
        <f>INDEX(pin!$D$114:$T$132,MATCH(ΥΠΟΛΟΓΙΣΜΟΙ!BO32,pin!$B$114:$B$132,0),MATCH(ΥΠΟΛΟΓΙΣΜΟΙ!AX32,pin!$D$113:$T$113,0))+0.2*(BO32-AH32)*(INDEX(pin!$D$114:$T$132,MATCH(ΥΠΟΛΟΓΙΣΜΟΙ!BO32,pin!$B$114:$B$132,0),MATCH(ΥΠΟΛΟΓΙΣΜΟΙ!AX32,pin!$D$113:$T$113,0))-INDEX(pin!$D$114:$T$132,MATCH(ΥΠΟΛΟΓΙΣΜΟΙ!BP32,pin!$B$114:$B$132,0),MATCH(ΥΠΟΛΟΓΙΣΜΟΙ!AX32,pin!$D$113:$T$113,0)))</f>
        <v>1</v>
      </c>
      <c r="BS32" s="209">
        <f>INDEX(pin!$X$114:$AN$132,MATCH(ΥΠΟΛΟΓΙΣΜΟΙ!BO32,pin!$V$114:$V$132,0),MATCH(ΥΠΟΛΟΓΙΣΜΟΙ!AW32,pin!$X$113:$AN$113,0))+0.2*(BO32-AH32)*(INDEX(pin!$X$114:$AN$132,MATCH(ΥΠΟΛΟΓΙΣΜΟΙ!BO32,pin!$V$114:$V$132,0),MATCH(ΥΠΟΛΟΓΙΣΜΟΙ!AW32,pin!$X$113:$AN$113,0))-INDEX(pin!$X$114:$AN$132,MATCH(ΥΠΟΛΟΓΙΣΜΟΙ!BP32,pin!$V$114:$V$132,0),MATCH(ΥΠΟΛΟΓΙΣΜΟΙ!AW32,pin!$X$113:$AN$113,0)))</f>
        <v>1</v>
      </c>
      <c r="BT32" s="225">
        <f>INDEX(pin!$X$114:$AN$132,MATCH(ΥΠΟΛΟΓΙΣΜΟΙ!BO32,pin!$V$114:$V$132,0),MATCH(ΥΠΟΛΟΓΙΣΜΟΙ!AX32,pin!$X$113:$AN$113,0))+0.2*(BO32-AH32)*(INDEX(pin!$X$114:$AN$132,MATCH(ΥΠΟΛΟΓΙΣΜΟΙ!BO32,pin!$V$114:$V$132,0),MATCH(ΥΠΟΛΟΓΙΣΜΟΙ!AX32,pin!$X$113:$AN$113,0))-INDEX(pin!$X$114:$AN$132,MATCH(ΥΠΟΛΟΓΙΣΜΟΙ!BP32,pin!$V$114:$V$132,0),MATCH(ΥΠΟΛΟΓΙΣΜΟΙ!AX32,pin!$X$113:$AN$113,0)))</f>
        <v>1</v>
      </c>
      <c r="BU32" s="209">
        <f t="shared" si="28"/>
        <v>0</v>
      </c>
      <c r="BV32" s="210">
        <f t="shared" si="29"/>
        <v>0</v>
      </c>
      <c r="BW32" s="210">
        <f>INDEX(pin!$D$90:$T$108,MATCH(ΥΠΟΛΟΓΙΣΜΟΙ!BU32,pin!$B$90:$B$108,0),MATCH(ΥΠΟΛΟΓΙΣΜΟΙ!AW32,pin!$D$89:$T$89,0))+0.2*(BU32-AI32)*(INDEX(pin!$D$90:$T$108,MATCH(ΥΠΟΛΟΓΙΣΜΟΙ!BU32,pin!$B$90:$B$108,0),MATCH(ΥΠΟΛΟΓΙΣΜΟΙ!AW32,pin!$D$89:$T$89,0))-INDEX(pin!$D$90:$T$108,MATCH(ΥΠΟΛΟΓΙΣΜΟΙ!BV32,pin!$B$90:$B$108,0),MATCH(ΥΠΟΛΟΓΙΣΜΟΙ!AW32,pin!$D$89:$T$89,0)))</f>
        <v>1</v>
      </c>
      <c r="BX32" s="225">
        <f>INDEX(pin!$D$90:$T$108,MATCH(ΥΠΟΛΟΓΙΣΜΟΙ!BU32,pin!$B$90:$B$108,0),MATCH(ΥΠΟΛΟΓΙΣΜΟΙ!AX32,pin!$D$89:$T$89,0))+0.2*(BU32-AI32)*(INDEX(pin!$D$90:$T$108,MATCH(ΥΠΟΛΟΓΙΣΜΟΙ!BU32,pin!$B$90:$B$108,0),MATCH(ΥΠΟΛΟΓΙΣΜΟΙ!AX32,pin!$D$89:$T$89,0))-INDEX(pin!$D$90:$T$108,MATCH(ΥΠΟΛΟΓΙΣΜΟΙ!BV32,pin!$B$90:$B$108,0),MATCH(ΥΠΟΛΟΓΙΣΜΟΙ!AX32,pin!$D$89:$T$89,0)))</f>
        <v>1</v>
      </c>
      <c r="BY32" s="210">
        <f>INDEX(pin!$X$90:$AN$108,MATCH(ΥΠΟΛΟΓΙΣΜΟΙ!BU32,pin!$V$90:$V$108,0),MATCH(ΥΠΟΛΟΓΙΣΜΟΙ!AW32,pin!$X$89:$AN$89,0))+0.2*(BU32-AI32)*(INDEX(pin!$X$90:$AN$108,MATCH(ΥΠΟΛΟΓΙΣΜΟΙ!BU32,pin!$V$90:$V$108,0),MATCH(ΥΠΟΛΟΓΙΣΜΟΙ!AW32,pin!$X$89:$AN$89,0))-INDEX(pin!$X$90:$AN$108,MATCH(ΥΠΟΛΟΓΙΣΜΟΙ!BV32,pin!$V$90:$V$108,0),MATCH(ΥΠΟΛΟΓΙΣΜΟΙ!AW32,pin!$X$89:$AN$89,0)))</f>
        <v>1</v>
      </c>
      <c r="BZ32" s="225">
        <f>INDEX(pin!$X$90:$AN$108,MATCH(ΥΠΟΛΟΓΙΣΜΟΙ!BU32,pin!$V$90:$V$108,0),MATCH(ΥΠΟΛΟΓΙΣΜΟΙ!AX32,pin!$X$89:$AN$89,0))+0.2*(BU32-AI32)*(INDEX(pin!$X$90:$AN$108,MATCH(ΥΠΟΛΟΓΙΣΜΟΙ!BU32,pin!$V$90:$V$108,0),MATCH(ΥΠΟΛΟΓΙΣΜΟΙ!AX32,pin!$X$89:$AN$89,0))-INDEX(pin!$X$90:$AN$108,MATCH(ΥΠΟΛΟΓΙΣΜΟΙ!BV32,pin!$V$90:$V$108,0),MATCH(ΥΠΟΛΟΓΙΣΜΟΙ!AX32,pin!$X$89:$AN$89,0)))</f>
        <v>1</v>
      </c>
      <c r="CA32" s="213"/>
    </row>
    <row r="33" spans="1:79" ht="15" thickBot="1">
      <c r="A33" s="337"/>
      <c r="B33" s="340"/>
      <c r="C33" s="338"/>
      <c r="D33" s="338"/>
      <c r="E33" s="54"/>
      <c r="F33" s="338"/>
      <c r="G33" s="336"/>
      <c r="H33" s="55"/>
      <c r="I33" s="338"/>
      <c r="J33" s="338"/>
      <c r="K33" s="336"/>
      <c r="L33" s="674" t="str">
        <f>IF($N$8="κτιριακη μοναδα","      ↑  [γ(deg): -1 πληρης σκια εξ. στοιχειων]"," ")</f>
        <v xml:space="preserve">      ↑  [γ(deg): -1 πληρης σκια εξ. στοιχειων]</v>
      </c>
      <c r="M33" s="674"/>
      <c r="N33" s="674"/>
      <c r="O33" s="674"/>
      <c r="P33" s="674"/>
      <c r="Q33" s="338"/>
      <c r="R33" s="338"/>
      <c r="S33" s="338"/>
      <c r="T33" s="338"/>
      <c r="U33" s="342"/>
      <c r="V33" s="338"/>
      <c r="W33" s="338"/>
      <c r="X33" s="338"/>
      <c r="Y33" s="338"/>
      <c r="Z33" s="338"/>
      <c r="AA33" s="338"/>
      <c r="AB33" s="338"/>
      <c r="AC33" s="338"/>
      <c r="AD33" s="338"/>
      <c r="AE33" s="226"/>
      <c r="AF33" s="204"/>
      <c r="AG33" s="202"/>
      <c r="AH33" s="204"/>
      <c r="AI33" s="204"/>
      <c r="AJ33" s="205"/>
      <c r="AK33" s="205"/>
      <c r="AL33" s="205"/>
      <c r="AM33" s="205"/>
      <c r="AN33" s="229"/>
      <c r="AO33" s="230"/>
      <c r="AP33" s="230"/>
      <c r="AQ33" s="230"/>
      <c r="AR33" s="230"/>
      <c r="AS33" s="230"/>
      <c r="AT33" s="230"/>
      <c r="AU33" s="230"/>
      <c r="AV33" s="230"/>
      <c r="AW33" s="230"/>
      <c r="AX33" s="231"/>
      <c r="AY33" s="229"/>
      <c r="AZ33" s="230"/>
      <c r="BA33" s="230"/>
      <c r="BB33" s="231"/>
      <c r="BC33" s="230"/>
      <c r="BD33" s="230"/>
      <c r="BE33" s="229"/>
      <c r="BF33" s="230"/>
      <c r="BG33" s="230"/>
      <c r="BH33" s="230"/>
      <c r="BI33" s="229"/>
      <c r="BJ33" s="231"/>
      <c r="BK33" s="229"/>
      <c r="BL33" s="230"/>
      <c r="BM33" s="230"/>
      <c r="BN33" s="231"/>
      <c r="BO33" s="229"/>
      <c r="BP33" s="230"/>
      <c r="BQ33" s="230"/>
      <c r="BR33" s="230"/>
      <c r="BS33" s="229"/>
      <c r="BT33" s="231"/>
      <c r="BU33" s="229"/>
      <c r="BV33" s="230"/>
      <c r="BW33" s="230"/>
      <c r="BX33" s="231"/>
      <c r="BY33" s="230"/>
      <c r="BZ33" s="231"/>
      <c r="CA33" s="213"/>
    </row>
    <row r="34" spans="1:79" ht="15" thickTop="1">
      <c r="A34" s="704" t="s">
        <v>695</v>
      </c>
      <c r="B34" s="704"/>
      <c r="C34" s="704"/>
      <c r="D34" s="704"/>
      <c r="E34" s="704"/>
      <c r="F34" s="704"/>
      <c r="G34" s="704"/>
      <c r="H34" s="675" t="s">
        <v>720</v>
      </c>
      <c r="I34" s="676"/>
      <c r="J34" s="676"/>
      <c r="K34" s="676"/>
      <c r="L34" s="676"/>
      <c r="M34" s="676"/>
      <c r="N34" s="676"/>
      <c r="O34" s="830" t="s">
        <v>721</v>
      </c>
      <c r="P34" s="831"/>
      <c r="Q34" s="832" t="s">
        <v>711</v>
      </c>
      <c r="R34" s="832"/>
      <c r="S34" s="348"/>
      <c r="T34" s="349"/>
      <c r="U34" s="34"/>
      <c r="V34" s="34"/>
      <c r="W34" s="34"/>
      <c r="X34" s="34"/>
      <c r="Y34" s="34"/>
      <c r="Z34" s="34"/>
      <c r="AE34" s="233"/>
      <c r="AF34" s="234"/>
      <c r="AG34" s="234"/>
      <c r="AH34" s="234"/>
      <c r="AI34" s="234"/>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5"/>
      <c r="BU34" s="235"/>
      <c r="BV34" s="235"/>
      <c r="BW34" s="235"/>
      <c r="BX34" s="235"/>
      <c r="BY34" s="235"/>
      <c r="BZ34" s="235"/>
      <c r="CA34" s="211"/>
    </row>
    <row r="35" spans="1:79" ht="15" thickBot="1">
      <c r="A35" s="704"/>
      <c r="B35" s="704"/>
      <c r="C35" s="704"/>
      <c r="D35" s="704"/>
      <c r="E35" s="704"/>
      <c r="F35" s="704"/>
      <c r="G35" s="704"/>
      <c r="H35" s="671" t="s">
        <v>538</v>
      </c>
      <c r="I35" s="488"/>
      <c r="J35" s="488"/>
      <c r="K35" s="488"/>
      <c r="L35" s="488" t="s">
        <v>537</v>
      </c>
      <c r="M35" s="488"/>
      <c r="N35" s="489"/>
      <c r="O35" s="833" t="s">
        <v>712</v>
      </c>
      <c r="P35" s="834"/>
      <c r="Q35" s="350"/>
      <c r="R35" s="343" t="s">
        <v>713</v>
      </c>
      <c r="S35" s="346"/>
      <c r="T35" s="347"/>
      <c r="U35" s="740" t="s">
        <v>380</v>
      </c>
      <c r="V35" s="740"/>
      <c r="W35" s="740"/>
      <c r="X35" s="740"/>
      <c r="Y35" s="740"/>
      <c r="Z35" s="740"/>
      <c r="AA35" s="727" t="s">
        <v>307</v>
      </c>
      <c r="AB35" s="727"/>
      <c r="AC35" s="727"/>
      <c r="AD35" s="727"/>
      <c r="AE35" s="782" t="s">
        <v>447</v>
      </c>
      <c r="AF35" s="783"/>
      <c r="AG35" s="783"/>
      <c r="AH35" s="783"/>
      <c r="AI35" s="784"/>
      <c r="AJ35" s="778" t="s">
        <v>375</v>
      </c>
      <c r="AK35" s="778"/>
      <c r="AL35" s="778"/>
      <c r="AM35" s="778"/>
      <c r="AN35" s="209"/>
      <c r="AO35" s="210"/>
      <c r="AP35" s="210"/>
      <c r="AQ35" s="210"/>
      <c r="AR35" s="210"/>
      <c r="AS35" s="210"/>
      <c r="AT35" s="210"/>
      <c r="AU35" s="210"/>
      <c r="AV35" s="210" t="s">
        <v>265</v>
      </c>
      <c r="AW35" s="210"/>
      <c r="AX35" s="225"/>
      <c r="AY35" s="777" t="s">
        <v>405</v>
      </c>
      <c r="AZ35" s="719"/>
      <c r="BA35" s="719" t="s">
        <v>406</v>
      </c>
      <c r="BB35" s="769"/>
      <c r="BC35" s="777" t="s">
        <v>407</v>
      </c>
      <c r="BD35" s="769"/>
      <c r="BE35" s="777" t="s">
        <v>410</v>
      </c>
      <c r="BF35" s="719"/>
      <c r="BG35" s="719" t="s">
        <v>406</v>
      </c>
      <c r="BH35" s="719"/>
      <c r="BI35" s="777" t="s">
        <v>407</v>
      </c>
      <c r="BJ35" s="769"/>
      <c r="BK35" s="777" t="s">
        <v>410</v>
      </c>
      <c r="BL35" s="719"/>
      <c r="BM35" s="777" t="s">
        <v>411</v>
      </c>
      <c r="BN35" s="769"/>
      <c r="BO35" s="777" t="s">
        <v>413</v>
      </c>
      <c r="BP35" s="719"/>
      <c r="BQ35" s="719" t="s">
        <v>406</v>
      </c>
      <c r="BR35" s="719"/>
      <c r="BS35" s="777" t="s">
        <v>407</v>
      </c>
      <c r="BT35" s="769"/>
      <c r="BU35" s="777" t="s">
        <v>413</v>
      </c>
      <c r="BV35" s="719"/>
      <c r="BW35" s="719" t="s">
        <v>406</v>
      </c>
      <c r="BX35" s="769"/>
      <c r="BY35" s="719" t="s">
        <v>407</v>
      </c>
      <c r="BZ35" s="769"/>
      <c r="CA35" s="213"/>
    </row>
    <row r="36" spans="1:79" ht="15.6" thickTop="1" thickBot="1">
      <c r="C36" s="693" t="s">
        <v>722</v>
      </c>
      <c r="D36" s="693"/>
      <c r="E36" s="693"/>
      <c r="F36" s="693"/>
      <c r="G36" s="694"/>
      <c r="H36" s="672" t="s">
        <v>536</v>
      </c>
      <c r="I36" s="673"/>
      <c r="J36" s="298">
        <v>20</v>
      </c>
      <c r="K36" s="299" t="s">
        <v>535</v>
      </c>
      <c r="L36" s="450" t="str">
        <f>sys!L165</f>
        <v xml:space="preserve"> </v>
      </c>
      <c r="M36" s="451" t="s">
        <v>543</v>
      </c>
      <c r="N36" s="341" t="str">
        <f>sys!L168</f>
        <v xml:space="preserve"> </v>
      </c>
      <c r="O36" s="668" t="s">
        <v>225</v>
      </c>
      <c r="P36" s="668"/>
      <c r="Q36" s="668"/>
      <c r="R36" s="668"/>
      <c r="S36" s="668"/>
      <c r="T36" s="668"/>
      <c r="U36" s="770" t="s">
        <v>697</v>
      </c>
      <c r="V36" s="721"/>
      <c r="W36" s="722" t="s">
        <v>698</v>
      </c>
      <c r="X36" s="721"/>
      <c r="Y36" s="722" t="s">
        <v>699</v>
      </c>
      <c r="Z36" s="721"/>
      <c r="AA36" s="787" t="s">
        <v>702</v>
      </c>
      <c r="AB36" s="695"/>
      <c r="AC36" s="787" t="s">
        <v>703</v>
      </c>
      <c r="AD36" s="695"/>
      <c r="AE36" s="214"/>
      <c r="AF36" s="719"/>
      <c r="AG36" s="719"/>
      <c r="AH36" s="719"/>
      <c r="AI36" s="769"/>
      <c r="AJ36" s="778" t="s">
        <v>128</v>
      </c>
      <c r="AK36" s="778"/>
      <c r="AL36" s="778" t="s">
        <v>129</v>
      </c>
      <c r="AM36" s="778"/>
      <c r="AN36" s="209" t="s">
        <v>393</v>
      </c>
      <c r="AO36" s="210"/>
      <c r="AP36" s="210"/>
      <c r="AQ36" s="210"/>
      <c r="AR36" s="210"/>
      <c r="AS36" s="210"/>
      <c r="AT36" s="210"/>
      <c r="AU36" s="210"/>
      <c r="AV36" s="210" t="s">
        <v>266</v>
      </c>
      <c r="AW36" s="210" t="s">
        <v>393</v>
      </c>
      <c r="AX36" s="225" t="s">
        <v>393</v>
      </c>
      <c r="AY36" s="209" t="s">
        <v>393</v>
      </c>
      <c r="AZ36" s="210" t="s">
        <v>393</v>
      </c>
      <c r="BA36" s="210" t="s">
        <v>392</v>
      </c>
      <c r="BB36" s="225" t="s">
        <v>404</v>
      </c>
      <c r="BC36" s="210" t="s">
        <v>392</v>
      </c>
      <c r="BD36" s="225" t="s">
        <v>404</v>
      </c>
      <c r="BE36" s="209" t="s">
        <v>393</v>
      </c>
      <c r="BF36" s="210" t="s">
        <v>393</v>
      </c>
      <c r="BG36" s="210" t="s">
        <v>392</v>
      </c>
      <c r="BH36" s="210" t="s">
        <v>404</v>
      </c>
      <c r="BI36" s="209" t="s">
        <v>392</v>
      </c>
      <c r="BJ36" s="225" t="s">
        <v>404</v>
      </c>
      <c r="BK36" s="209" t="s">
        <v>393</v>
      </c>
      <c r="BL36" s="210" t="s">
        <v>393</v>
      </c>
      <c r="BM36" s="210" t="s">
        <v>392</v>
      </c>
      <c r="BN36" s="225" t="s">
        <v>404</v>
      </c>
      <c r="BO36" s="209" t="s">
        <v>393</v>
      </c>
      <c r="BP36" s="210" t="s">
        <v>393</v>
      </c>
      <c r="BQ36" s="210" t="s">
        <v>392</v>
      </c>
      <c r="BR36" s="210" t="s">
        <v>404</v>
      </c>
      <c r="BS36" s="209" t="s">
        <v>392</v>
      </c>
      <c r="BT36" s="225" t="s">
        <v>404</v>
      </c>
      <c r="BU36" s="209" t="s">
        <v>393</v>
      </c>
      <c r="BV36" s="210" t="s">
        <v>393</v>
      </c>
      <c r="BW36" s="210" t="s">
        <v>392</v>
      </c>
      <c r="BX36" s="225" t="s">
        <v>404</v>
      </c>
      <c r="BY36" s="210" t="s">
        <v>392</v>
      </c>
      <c r="BZ36" s="225" t="s">
        <v>404</v>
      </c>
      <c r="CA36" s="213"/>
    </row>
    <row r="37" spans="1:79" ht="15" thickTop="1">
      <c r="A37" s="695" t="s">
        <v>4</v>
      </c>
      <c r="B37" s="696"/>
      <c r="C37" s="37" t="s">
        <v>5</v>
      </c>
      <c r="D37" s="37" t="s">
        <v>24</v>
      </c>
      <c r="E37" s="37" t="s">
        <v>25</v>
      </c>
      <c r="F37" s="38" t="s">
        <v>6</v>
      </c>
      <c r="G37" s="39" t="s">
        <v>26</v>
      </c>
      <c r="H37" s="39" t="s">
        <v>9</v>
      </c>
      <c r="I37" s="39" t="s">
        <v>10</v>
      </c>
      <c r="J37" s="308" t="s">
        <v>652</v>
      </c>
      <c r="K37" s="42" t="s">
        <v>27</v>
      </c>
      <c r="L37" s="43" t="s">
        <v>29</v>
      </c>
      <c r="M37" s="344" t="s">
        <v>550</v>
      </c>
      <c r="N37" s="345" t="s">
        <v>551</v>
      </c>
      <c r="O37" s="41" t="s">
        <v>123</v>
      </c>
      <c r="P37" s="40" t="s">
        <v>124</v>
      </c>
      <c r="Q37" s="41" t="s">
        <v>14</v>
      </c>
      <c r="R37" s="40" t="s">
        <v>125</v>
      </c>
      <c r="S37" s="41" t="s">
        <v>126</v>
      </c>
      <c r="T37" s="40" t="s">
        <v>127</v>
      </c>
      <c r="U37" s="168" t="s">
        <v>514</v>
      </c>
      <c r="V37" s="44" t="s">
        <v>368</v>
      </c>
      <c r="W37" s="37" t="s">
        <v>28</v>
      </c>
      <c r="X37" s="44" t="s">
        <v>13</v>
      </c>
      <c r="Y37" s="167" t="s">
        <v>362</v>
      </c>
      <c r="Z37" s="169" t="s">
        <v>363</v>
      </c>
      <c r="AA37" s="168" t="s">
        <v>369</v>
      </c>
      <c r="AB37" s="167" t="s">
        <v>364</v>
      </c>
      <c r="AC37" s="168" t="s">
        <v>369</v>
      </c>
      <c r="AD37" s="167" t="s">
        <v>364</v>
      </c>
      <c r="AE37" s="226" t="s">
        <v>8</v>
      </c>
      <c r="AF37" s="202" t="s">
        <v>30</v>
      </c>
      <c r="AG37" s="228" t="s">
        <v>31</v>
      </c>
      <c r="AH37" s="202" t="s">
        <v>21</v>
      </c>
      <c r="AI37" s="202" t="s">
        <v>22</v>
      </c>
      <c r="AJ37" s="227" t="s">
        <v>126</v>
      </c>
      <c r="AK37" s="202" t="s">
        <v>127</v>
      </c>
      <c r="AL37" s="227" t="s">
        <v>126</v>
      </c>
      <c r="AM37" s="228" t="s">
        <v>127</v>
      </c>
      <c r="AN37" s="209" t="s">
        <v>394</v>
      </c>
      <c r="AO37" s="210"/>
      <c r="AP37" s="210"/>
      <c r="AQ37" s="210"/>
      <c r="AR37" s="210"/>
      <c r="AS37" s="210"/>
      <c r="AT37" s="210"/>
      <c r="AU37" s="210"/>
      <c r="AV37" s="210" t="s">
        <v>267</v>
      </c>
      <c r="AW37" s="210" t="s">
        <v>390</v>
      </c>
      <c r="AX37" s="225" t="s">
        <v>391</v>
      </c>
      <c r="AY37" s="229" t="s">
        <v>390</v>
      </c>
      <c r="AZ37" s="230" t="s">
        <v>391</v>
      </c>
      <c r="BA37" s="230" t="s">
        <v>390</v>
      </c>
      <c r="BB37" s="231" t="s">
        <v>391</v>
      </c>
      <c r="BC37" s="230" t="s">
        <v>390</v>
      </c>
      <c r="BD37" s="231" t="s">
        <v>391</v>
      </c>
      <c r="BE37" s="229" t="s">
        <v>390</v>
      </c>
      <c r="BF37" s="230" t="s">
        <v>391</v>
      </c>
      <c r="BG37" s="230" t="s">
        <v>390</v>
      </c>
      <c r="BH37" s="230" t="s">
        <v>391</v>
      </c>
      <c r="BI37" s="229" t="s">
        <v>390</v>
      </c>
      <c r="BJ37" s="231" t="s">
        <v>391</v>
      </c>
      <c r="BK37" s="229" t="s">
        <v>390</v>
      </c>
      <c r="BL37" s="230" t="s">
        <v>391</v>
      </c>
      <c r="BM37" s="230" t="s">
        <v>390</v>
      </c>
      <c r="BN37" s="231" t="s">
        <v>391</v>
      </c>
      <c r="BO37" s="229" t="s">
        <v>390</v>
      </c>
      <c r="BP37" s="230" t="s">
        <v>391</v>
      </c>
      <c r="BQ37" s="230" t="s">
        <v>390</v>
      </c>
      <c r="BR37" s="230" t="s">
        <v>391</v>
      </c>
      <c r="BS37" s="229" t="s">
        <v>390</v>
      </c>
      <c r="BT37" s="231" t="s">
        <v>391</v>
      </c>
      <c r="BU37" s="229" t="s">
        <v>390</v>
      </c>
      <c r="BV37" s="230" t="s">
        <v>391</v>
      </c>
      <c r="BW37" s="230" t="s">
        <v>390</v>
      </c>
      <c r="BX37" s="231" t="s">
        <v>391</v>
      </c>
      <c r="BY37" s="230" t="s">
        <v>390</v>
      </c>
      <c r="BZ37" s="231" t="s">
        <v>391</v>
      </c>
      <c r="CA37" s="213"/>
    </row>
    <row r="38" spans="1:79">
      <c r="A38" s="180">
        <v>1</v>
      </c>
      <c r="B38" s="128"/>
      <c r="C38" s="126"/>
      <c r="D38" s="126"/>
      <c r="E38" s="126"/>
      <c r="F38" s="47" t="str">
        <f>IF(C38=0,"-",D38-E38)</f>
        <v>-</v>
      </c>
      <c r="G38" s="90" t="str">
        <f>IFERROR(IF(C38&gt;0,C38*F38,-1*C38*F38),"-")</f>
        <v>-</v>
      </c>
      <c r="H38" s="129"/>
      <c r="I38" s="129"/>
      <c r="J38" s="309" t="s">
        <v>653</v>
      </c>
      <c r="K38" s="133"/>
      <c r="L38" s="455"/>
      <c r="M38" s="454"/>
      <c r="N38" s="266"/>
      <c r="O38" s="46">
        <f>IF(C38&gt;=0,BA38+0.0444*(H38-AW38)*(BB38-BA38),0)</f>
        <v>1</v>
      </c>
      <c r="P38" s="130">
        <f>IF(C38&gt;=0,BC38+0.0444*(H38-AW38)*(BD38-BC38),0)</f>
        <v>1</v>
      </c>
      <c r="Q38" s="46">
        <f>IF(C38&gt;=0,BG38+0.0444*(H38-AW38)*(BH38-BG38),0)</f>
        <v>1</v>
      </c>
      <c r="R38" s="130">
        <f>IF(C38&gt;=0,IF(AG38=0,BI38+0.0444*(H38-AW38)*(BJ38-BI38),BM38+0.0444*(H38-AW38)*(BN38-BM38)),0)</f>
        <v>1</v>
      </c>
      <c r="S38" s="46">
        <f>IF(C38&gt;=0,AJ38*AL38,0)</f>
        <v>1</v>
      </c>
      <c r="T38" s="130">
        <f>IF(C38&gt;=0,AK38*AM38,0)</f>
        <v>1</v>
      </c>
      <c r="U38" s="131"/>
      <c r="V38" s="134" t="str">
        <f>IF(U38=0,"-",K38-0.5*F38-E38)</f>
        <v>-</v>
      </c>
      <c r="W38" s="126"/>
      <c r="X38" s="134" t="str">
        <f>IF(W38=0,"-",L38-0.5*F38-E38)</f>
        <v>-</v>
      </c>
      <c r="Y38" s="148"/>
      <c r="Z38" s="149"/>
      <c r="AA38" s="126"/>
      <c r="AB38" s="126"/>
      <c r="AC38" s="131"/>
      <c r="AD38" s="127"/>
      <c r="AE38" s="226">
        <f>IFERROR(DEGREES(ATAN(V38/U38)),0)</f>
        <v>0</v>
      </c>
      <c r="AF38" s="202">
        <f>IFERROR(DEGREES(ATAN(W38/X38)),0)</f>
        <v>0</v>
      </c>
      <c r="AG38" s="228">
        <f>IF(Y38&gt;0,IF((Z38-0.5*F38-E38)&gt;0,DEGREES(ATAN(Y38/(Z38-0.5*F38-E38))),90),0)</f>
        <v>0</v>
      </c>
      <c r="AH38" s="202">
        <f>IFERROR(DEGREES(ATAN(AA38/AB38)),0)</f>
        <v>0</v>
      </c>
      <c r="AI38" s="202">
        <f>IFERROR(DEGREES(ATAN(AC38/AD38)),0)</f>
        <v>0</v>
      </c>
      <c r="AJ38" s="203">
        <f>BQ38+0.0444*(H38-AW38)*(BR38-BQ38)</f>
        <v>1</v>
      </c>
      <c r="AK38" s="203">
        <f>BS38+0.0444*(H38-AW38)*(BT38-BS38)</f>
        <v>1</v>
      </c>
      <c r="AL38" s="203">
        <f>BW38+0.0444*(H38-AW38)*(BX38-BW38)</f>
        <v>1</v>
      </c>
      <c r="AM38" s="203">
        <f>BY38+0.0444*(H38-AW38)*(BZ38-BY38)</f>
        <v>1</v>
      </c>
      <c r="AN38" s="245">
        <f>IF(H38=-1,"-",MROUND(H38, 22.5))</f>
        <v>0</v>
      </c>
      <c r="AO38" s="246"/>
      <c r="AP38" s="246"/>
      <c r="AQ38" s="246"/>
      <c r="AR38" s="246"/>
      <c r="AS38" s="246"/>
      <c r="AT38" s="246"/>
      <c r="AU38" s="246"/>
      <c r="AV38" s="246" t="s">
        <v>268</v>
      </c>
      <c r="AW38" s="246">
        <f>IF(AN38-H38&lt;=0,AN38,AN38-22.5)</f>
        <v>0</v>
      </c>
      <c r="AX38" s="247">
        <f>IF(AN38-H38=0,AN38,AW38+22.5)</f>
        <v>0</v>
      </c>
      <c r="AY38" s="209">
        <f t="shared" ref="AY38:AY49" si="31">IF(MROUND(AE38,2.5)-AE38&lt;=0,MROUND(AE38,2.5),MROUND(AE38,2.5)-2.5)</f>
        <v>0</v>
      </c>
      <c r="AZ38" s="210">
        <f t="shared" ref="AZ38:AZ49" si="32">IF(MROUND(AE38,2.5)-AE38=0,MROUND(AE38,2.5),AY38+2.5)</f>
        <v>0</v>
      </c>
      <c r="BA38" s="210">
        <f>INDEX(pin!$D$6:$T$42,MATCH(ΥΠΟΛΟΓΙΣΜΟΙ!AY38,pin!$B$6:$B$42,0),MATCH(ΥΠΟΛΟΓΙΣΜΟΙ!AW38,pin!$D$5:$T$5,0))+0.4*(AY38-AE38)*(INDEX(pin!$D$6:$T$42,MATCH(ΥΠΟΛΟΓΙΣΜΟΙ!AY38,pin!$B$6:$B$42,0),MATCH(ΥΠΟΛΟΓΙΣΜΟΙ!AW38,pin!$D$5:$T$5,0))-INDEX(pin!$D$6:$T$42,MATCH(ΥΠΟΛΟΓΙΣΜΟΙ!AZ38,pin!$B$6:$B$42,0),MATCH(ΥΠΟΛΟΓΙΣΜΟΙ!AW38,pin!$D$5:$T$5,0)))</f>
        <v>1</v>
      </c>
      <c r="BB38" s="225">
        <f>INDEX(pin!$D$6:$T$42,MATCH(ΥΠΟΛΟΓΙΣΜΟΙ!AY38,pin!$B$6:$B$42,0),MATCH(ΥΠΟΛΟΓΙΣΜΟΙ!AX38,pin!$D$5:$T$5,0))+0.4*(AY38-AE38)*(INDEX(pin!$D$6:$T$42,MATCH(ΥΠΟΛΟΓΙΣΜΟΙ!AY38,pin!$B$6:$B$42,0),MATCH(ΥΠΟΛΟΓΙΣΜΟΙ!AX38,pin!$D$5:$T$5,0))-INDEX(pin!$D$6:$T$42,MATCH(ΥΠΟΛΟΓΙΣΜΟΙ!AZ38,pin!$B$6:$B$42,0),MATCH(ΥΠΟΛΟΓΙΣΜΟΙ!AX38,pin!$D$5:$T$5,0)))</f>
        <v>1</v>
      </c>
      <c r="BC38" s="210">
        <f>INDEX(pin!$X$6:$AN$42,MATCH(ΥΠΟΛΟΓΙΣΜΟΙ!AY38,pin!$V$6:$V$42,0),MATCH(ΥΠΟΛΟΓΙΣΜΟΙ!AW38,pin!$X$5:$AN$5,0))+0.4*(AY38-AE38)*(INDEX(pin!$X$6:$AN$42,MATCH(ΥΠΟΛΟΓΙΣΜΟΙ!AY38,pin!$V$6:$V$42,0),MATCH(ΥΠΟΛΟΓΙΣΜΟΙ!AW38,pin!$X$5:$AN$5,0))-INDEX(pin!$X$6:$AN$42,MATCH(ΥΠΟΛΟΓΙΣΜΟΙ!AZ38,pin!$V$6:$V$42,0),MATCH(ΥΠΟΛΟΓΙΣΜΟΙ!AW38,pin!$X$5:$AN$5,0)))</f>
        <v>1</v>
      </c>
      <c r="BD38" s="210">
        <f>INDEX(pin!$X$6:$AN$42,MATCH(ΥΠΟΛΟΓΙΣΜΟΙ!AY38,pin!$V$6:$V$42,0),MATCH(ΥΠΟΛΟΓΙΣΜΟΙ!AX38,pin!$X$5:$AN$5,0))+0.4*(AY38-AE38)*(INDEX(pin!$X$6:$AN$42,MATCH(ΥΠΟΛΟΓΙΣΜΟΙ!AY38,pin!$V$6:$V$42,0),MATCH(ΥΠΟΛΟΓΙΣΜΟΙ!AX38,pin!$X$5:$AN$5,0))-INDEX(pin!$X$6:$AN$42,MATCH(ΥΠΟΛΟΓΙΣΜΟΙ!AZ38,pin!$V$6:$V$42,0),MATCH(ΥΠΟΛΟΓΙΣΜΟΙ!AX38,pin!$X$5:$AN$5,0)))</f>
        <v>1</v>
      </c>
      <c r="BE38" s="209">
        <f t="shared" ref="BE38:BE49" si="33">IF(MROUND(AF38,2.5)-AF38&lt;=0,MROUND(AF38,2.5),MROUND(AF38,2.5)-2.5)</f>
        <v>0</v>
      </c>
      <c r="BF38" s="210">
        <f t="shared" ref="BF38:BF49" si="34">IF(MROUND(AF38,2.5)-AF38=0,MROUND(AF38,2.5),BE38+2.5)</f>
        <v>0</v>
      </c>
      <c r="BG38" s="210">
        <f>INDEX(pin!$D$48:$T$84,MATCH(ΥΠΟΛΟΓΙΣΜΟΙ!BE38,pin!$B$48:$B$84,0),MATCH(ΥΠΟΛΟΓΙΣΜΟΙ!AW38,pin!$D$47:$T$47,0))+0.4*(BE38-AF38)*(INDEX(pin!$D$48:$T$84,MATCH(ΥΠΟΛΟΓΙΣΜΟΙ!BE38,pin!$B$48:$B$84,0),MATCH(ΥΠΟΛΟΓΙΣΜΟΙ!AW38,pin!$D$47:$T$47,0))-INDEX(pin!$D$48:$T$84,MATCH(ΥΠΟΛΟΓΙΣΜΟΙ!BF38,pin!$B$48:$B$84,0),MATCH(ΥΠΟΛΟΓΙΣΜΟΙ!AW38,pin!$D$47:$T$47,0)))</f>
        <v>1</v>
      </c>
      <c r="BH38" s="210">
        <f>INDEX(pin!$D$48:$T$84,MATCH(ΥΠΟΛΟΓΙΣΜΟΙ!BE38,pin!$B$48:$B$84,0),MATCH(ΥΠΟΛΟΓΙΣΜΟΙ!AX38,pin!$D$47:$T$47,0))+0.4*(BE38-AF38)*(INDEX(pin!$D$48:$T$84,MATCH(ΥΠΟΛΟΓΙΣΜΟΙ!BE38,pin!$B$48:$B$84,0),MATCH(ΥΠΟΛΟΓΙΣΜΟΙ!AX38,pin!$D$47:$T$47,0))-INDEX(pin!$D$48:$T$84,MATCH(ΥΠΟΛΟΓΙΣΜΟΙ!BF38,pin!$B$48:$B$84,0),MATCH(ΥΠΟΛΟΓΙΣΜΟΙ!AX38,pin!$D$47:$T$47,0)))</f>
        <v>1</v>
      </c>
      <c r="BI38" s="209">
        <f>INDEX(pin!$X$48:$AN$84,MATCH(ΥΠΟΛΟΓΙΣΜΟΙ!BE38,pin!$V$48:$V$84,0),MATCH(ΥΠΟΛΟΓΙΣΜΟΙ!AW38,pin!$X$47:$AN$47,0))+0.4*(BE38-AF38)*(INDEX(pin!$X$48:$AN$84,MATCH(ΥΠΟΛΟΓΙΣΜΟΙ!BE38,pin!$V$48:$V$84,0),MATCH(ΥΠΟΛΟΓΙΣΜΟΙ!AW38,pin!$X$47:$AN$47,0))-INDEX(pin!$X$48:$AN$84,MATCH(ΥΠΟΛΟΓΙΣΜΟΙ!BF38,pin!$V$48:$V$84,0),MATCH(ΥΠΟΛΟΓΙΣΜΟΙ!AW38,pin!$X$47:$AN$47,0)))</f>
        <v>1</v>
      </c>
      <c r="BJ38" s="225">
        <f>INDEX(pin!$X$48:$AN$84,MATCH(ΥΠΟΛΟΓΙΣΜΟΙ!BE38,pin!$V$48:$V$84,0),MATCH(ΥΠΟΛΟΓΙΣΜΟΙ!AX38,pin!$X$47:$AN$47,0))+0.4*(BE38-AF38)*(INDEX(pin!$X$48:$AN$84,MATCH(ΥΠΟΛΟΓΙΣΜΟΙ!BE38,pin!$V$48:$V$84,0),MATCH(ΥΠΟΛΟΓΙΣΜΟΙ!AX38,pin!$X$47:$AN$47,0))-INDEX(pin!$X$48:$AN$84,MATCH(ΥΠΟΛΟΓΙΣΜΟΙ!BF38,pin!$V$48:$V$84,0),MATCH(ΥΠΟΛΟΓΙΣΜΟΙ!AX38,pin!$X$47:$AN$47,0)))</f>
        <v>1</v>
      </c>
      <c r="BK38" s="209">
        <f t="shared" ref="BK38:BK49" si="35">IF(MROUND(AG38,2.5)-AG38&lt;=0,MROUND(AG38,2.5),MROUND(AG38,2.5)-2.5)</f>
        <v>0</v>
      </c>
      <c r="BL38" s="210">
        <f t="shared" ref="BL38:BL49" si="36">IF(MROUND(AG38,2.5)-AG38=0,MROUND(AG38,2.5),BK38+2.5)</f>
        <v>0</v>
      </c>
      <c r="BM38" s="210">
        <f>INDEX(pin!$X$48:$AN$84,MATCH(ΥΠΟΛΟΓΙΣΜΟΙ!BK38,pin!$V$48:$V$84,0),MATCH(ΥΠΟΛΟΓΙΣΜΟΙ!AW38,pin!$X$47:$AN$47,0))+0.4*(BK38-AG38)*(INDEX(pin!$X$48:$AN$84,MATCH(ΥΠΟΛΟΓΙΣΜΟΙ!BK38,pin!$V$48:$V$84,0),MATCH(ΥΠΟΛΟΓΙΣΜΟΙ!AW38,pin!$X$47:$AN$47,0))-INDEX(pin!$X$48:$AN$84,MATCH(ΥΠΟΛΟΓΙΣΜΟΙ!BL38,pin!$V$48:$V$84,0),MATCH(ΥΠΟΛΟΓΙΣΜΟΙ!AW38,pin!$X$47:$AN$47,0)))</f>
        <v>1</v>
      </c>
      <c r="BN38" s="225">
        <f>INDEX(pin!$X$48:$AN$84,MATCH(ΥΠΟΛΟΓΙΣΜΟΙ!BK38,pin!$V$48:$V$84,0),MATCH(ΥΠΟΛΟΓΙΣΜΟΙ!AX38,pin!$X$47:$AN$47,0))+0.4*(BK38-AG38)*(INDEX(pin!$X$48:$AN$84,MATCH(ΥΠΟΛΟΓΙΣΜΟΙ!BK38,pin!$V$48:$V$84,0),MATCH(ΥΠΟΛΟΓΙΣΜΟΙ!AX38,pin!$X$47:$AN$47,0))-INDEX(pin!$X$48:$AN$84,MATCH(ΥΠΟΛΟΓΙΣΜΟΙ!BL38,pin!$V$48:$V$84,0),MATCH(ΥΠΟΛΟΓΙΣΜΟΙ!AX38,pin!$X$47:$AN$47,0)))</f>
        <v>1</v>
      </c>
      <c r="BO38" s="209">
        <f t="shared" ref="BO38:BO49" si="37">IF(MROUND(AH38,5)-AH38&lt;=0,MROUND(AH38,5),MROUND(AH38,5)-5)</f>
        <v>0</v>
      </c>
      <c r="BP38" s="210">
        <f t="shared" ref="BP38:BP49" si="38">IF(MROUND(AH38,5)-AH38=0,MROUND(AH38,5),BO38+5)</f>
        <v>0</v>
      </c>
      <c r="BQ38" s="210">
        <f>INDEX(pin!$D$114:$T$132,MATCH(ΥΠΟΛΟΓΙΣΜΟΙ!BO38,pin!$B$114:$B$132,0),MATCH(ΥΠΟΛΟΓΙΣΜΟΙ!AW38,pin!$D$113:$T$113,0))+0.2*(BO38-AH38)*(INDEX(pin!$D$114:$T$132,MATCH(ΥΠΟΛΟΓΙΣΜΟΙ!BO38,pin!$B$114:$B$132,0),MATCH(ΥΠΟΛΟΓΙΣΜΟΙ!AW38,pin!$D$113:$T$113,0))-INDEX(pin!$D$114:$T$132,MATCH(ΥΠΟΛΟΓΙΣΜΟΙ!BP38,pin!$B$114:$B$132,0),MATCH(ΥΠΟΛΟΓΙΣΜΟΙ!AW38,pin!$D$113:$T$113,0)))</f>
        <v>1</v>
      </c>
      <c r="BR38" s="210">
        <f>INDEX(pin!$D$114:$T$132,MATCH(ΥΠΟΛΟΓΙΣΜΟΙ!BO38,pin!$B$114:$B$132,0),MATCH(ΥΠΟΛΟΓΙΣΜΟΙ!AX38,pin!$D$113:$T$113,0))+0.2*(BO38-AH38)*(INDEX(pin!$D$114:$T$132,MATCH(ΥΠΟΛΟΓΙΣΜΟΙ!BO38,pin!$B$114:$B$132,0),MATCH(ΥΠΟΛΟΓΙΣΜΟΙ!AX38,pin!$D$113:$T$113,0))-INDEX(pin!$D$114:$T$132,MATCH(ΥΠΟΛΟΓΙΣΜΟΙ!BP38,pin!$B$114:$B$132,0),MATCH(ΥΠΟΛΟΓΙΣΜΟΙ!AX38,pin!$D$113:$T$113,0)))</f>
        <v>1</v>
      </c>
      <c r="BS38" s="209">
        <f>INDEX(pin!$X$114:$AN$132,MATCH(ΥΠΟΛΟΓΙΣΜΟΙ!BO38,pin!$V$114:$V$132,0),MATCH(ΥΠΟΛΟΓΙΣΜΟΙ!AW38,pin!$X$113:$AN$113,0))+0.2*(BO38-AH38)*(INDEX(pin!$X$114:$AN$132,MATCH(ΥΠΟΛΟΓΙΣΜΟΙ!BO38,pin!$V$114:$V$132,0),MATCH(ΥΠΟΛΟΓΙΣΜΟΙ!AW38,pin!$X$113:$AN$113,0))-INDEX(pin!$X$114:$AN$132,MATCH(ΥΠΟΛΟΓΙΣΜΟΙ!BP38,pin!$V$114:$V$132,0),MATCH(ΥΠΟΛΟΓΙΣΜΟΙ!AW38,pin!$X$113:$AN$113,0)))</f>
        <v>1</v>
      </c>
      <c r="BT38" s="225">
        <f>INDEX(pin!$X$114:$AN$132,MATCH(ΥΠΟΛΟΓΙΣΜΟΙ!BO38,pin!$V$114:$V$132,0),MATCH(ΥΠΟΛΟΓΙΣΜΟΙ!AX38,pin!$X$113:$AN$113,0))+0.2*(BO38-AH38)*(INDEX(pin!$X$114:$AN$132,MATCH(ΥΠΟΛΟΓΙΣΜΟΙ!BO38,pin!$V$114:$V$132,0),MATCH(ΥΠΟΛΟΓΙΣΜΟΙ!AX38,pin!$X$113:$AN$113,0))-INDEX(pin!$X$114:$AN$132,MATCH(ΥΠΟΛΟΓΙΣΜΟΙ!BP38,pin!$V$114:$V$132,0),MATCH(ΥΠΟΛΟΓΙΣΜΟΙ!AX38,pin!$X$113:$AN$113,0)))</f>
        <v>1</v>
      </c>
      <c r="BU38" s="209">
        <f t="shared" ref="BU38:BU49" si="39">IF(MROUND(AI38,5)-AI38&lt;=0,MROUND(AI38,5),MROUND(AI38,5)-5)</f>
        <v>0</v>
      </c>
      <c r="BV38" s="210">
        <f t="shared" ref="BV38:BV49" si="40">IF(MROUND(AI38,5)-AI38=0,MROUND(AI38,5),BU38+5)</f>
        <v>0</v>
      </c>
      <c r="BW38" s="210">
        <f>INDEX(pin!$D$90:$T$108,MATCH(ΥΠΟΛΟΓΙΣΜΟΙ!BU38,pin!$B$90:$B$108,0),MATCH(ΥΠΟΛΟΓΙΣΜΟΙ!AW38,pin!$D$89:$T$89,0))+0.2*(BU38-AI38)*(INDEX(pin!$D$90:$T$108,MATCH(ΥΠΟΛΟΓΙΣΜΟΙ!BU38,pin!$B$90:$B$108,0),MATCH(ΥΠΟΛΟΓΙΣΜΟΙ!AW38,pin!$D$89:$T$89,0))-INDEX(pin!$D$90:$T$108,MATCH(ΥΠΟΛΟΓΙΣΜΟΙ!BV38,pin!$B$90:$B$108,0),MATCH(ΥΠΟΛΟΓΙΣΜΟΙ!AW38,pin!$D$89:$T$89,0)))</f>
        <v>1</v>
      </c>
      <c r="BX38" s="225">
        <f>INDEX(pin!$D$90:$T$108,MATCH(ΥΠΟΛΟΓΙΣΜΟΙ!BU38,pin!$B$90:$B$108,0),MATCH(ΥΠΟΛΟΓΙΣΜΟΙ!AX38,pin!$D$89:$T$89,0))+0.2*(BU38-AI38)*(INDEX(pin!$D$90:$T$108,MATCH(ΥΠΟΛΟΓΙΣΜΟΙ!BU38,pin!$B$90:$B$108,0),MATCH(ΥΠΟΛΟΓΙΣΜΟΙ!AX38,pin!$D$89:$T$89,0))-INDEX(pin!$D$90:$T$108,MATCH(ΥΠΟΛΟΓΙΣΜΟΙ!BV38,pin!$B$90:$B$108,0),MATCH(ΥΠΟΛΟΓΙΣΜΟΙ!AX38,pin!$D$89:$T$89,0)))</f>
        <v>1</v>
      </c>
      <c r="BY38" s="210">
        <f>INDEX(pin!$X$90:$AN$108,MATCH(ΥΠΟΛΟΓΙΣΜΟΙ!BU38,pin!$V$90:$V$108,0),MATCH(ΥΠΟΛΟΓΙΣΜΟΙ!AW38,pin!$X$89:$AN$89,0))+0.2*(BU38-AI38)*(INDEX(pin!$X$90:$AN$108,MATCH(ΥΠΟΛΟΓΙΣΜΟΙ!BU38,pin!$V$90:$V$108,0),MATCH(ΥΠΟΛΟΓΙΣΜΟΙ!AW38,pin!$X$89:$AN$89,0))-INDEX(pin!$X$90:$AN$108,MATCH(ΥΠΟΛΟΓΙΣΜΟΙ!BV38,pin!$V$90:$V$108,0),MATCH(ΥΠΟΛΟΓΙΣΜΟΙ!AW38,pin!$X$89:$AN$89,0)))</f>
        <v>1</v>
      </c>
      <c r="BZ38" s="225">
        <f>INDEX(pin!$X$90:$AN$108,MATCH(ΥΠΟΛΟΓΙΣΜΟΙ!BU38,pin!$V$90:$V$108,0),MATCH(ΥΠΟΛΟΓΙΣΜΟΙ!AX38,pin!$X$89:$AN$89,0))+0.2*(BU38-AI38)*(INDEX(pin!$X$90:$AN$108,MATCH(ΥΠΟΛΟΓΙΣΜΟΙ!BU38,pin!$V$90:$V$108,0),MATCH(ΥΠΟΛΟΓΙΣΜΟΙ!AX38,pin!$X$89:$AN$89,0))-INDEX(pin!$X$90:$AN$108,MATCH(ΥΠΟΛΟΓΙΣΜΟΙ!BV38,pin!$V$90:$V$108,0),MATCH(ΥΠΟΛΟΓΙΣΜΟΙ!AX38,pin!$X$89:$AN$89,0)))</f>
        <v>1</v>
      </c>
      <c r="CA38" s="213"/>
    </row>
    <row r="39" spans="1:79" s="34" customFormat="1">
      <c r="A39" s="56">
        <v>2</v>
      </c>
      <c r="B39" s="128"/>
      <c r="C39" s="126"/>
      <c r="D39" s="126"/>
      <c r="E39" s="126"/>
      <c r="F39" s="47" t="str">
        <f t="shared" ref="F39:F49" si="41">IF(C39=0,"-",D39-E39)</f>
        <v>-</v>
      </c>
      <c r="G39" s="90" t="str">
        <f t="shared" ref="G39:G49" si="42">IFERROR(IF(C39&gt;0,C39*F39,-1*C39*F39),"-")</f>
        <v>-</v>
      </c>
      <c r="H39" s="129"/>
      <c r="I39" s="129"/>
      <c r="J39" s="309" t="s">
        <v>653</v>
      </c>
      <c r="K39" s="133"/>
      <c r="L39" s="455"/>
      <c r="M39" s="454"/>
      <c r="N39" s="266"/>
      <c r="O39" s="46">
        <f t="shared" ref="O39:O49" si="43">IF(C39&gt;=0,BA39+0.0444*(H39-AW39)*(BB39-BA39),0)</f>
        <v>1</v>
      </c>
      <c r="P39" s="130">
        <f t="shared" ref="P39:P49" si="44">IF(C39&gt;=0,BC39+0.0444*(H39-AW39)*(BD39-BC39),0)</f>
        <v>1</v>
      </c>
      <c r="Q39" s="46">
        <f t="shared" ref="Q39:Q49" si="45">IF(C39&gt;=0,BG39+0.0444*(H39-AW39)*(BH39-BG39),0)</f>
        <v>1</v>
      </c>
      <c r="R39" s="130">
        <f t="shared" ref="R39:R49" si="46">IF(C39&gt;=0,IF(AG39=0,BI39+0.0444*(H39-AW39)*(BJ39-BI39),BM39+0.0444*(H39-AW39)*(BN39-BM39)),0)</f>
        <v>1</v>
      </c>
      <c r="S39" s="46">
        <f t="shared" ref="S39:S49" si="47">IF(C39&gt;=0,AJ39*AL39,0)</f>
        <v>1</v>
      </c>
      <c r="T39" s="130">
        <f t="shared" ref="T39:T49" si="48">IF(C39&gt;=0,AK39*AM39,0)</f>
        <v>1</v>
      </c>
      <c r="U39" s="131"/>
      <c r="V39" s="134" t="str">
        <f t="shared" ref="V39:V49" si="49">IF(U39=0,"-",K39-0.5*F39-E39)</f>
        <v>-</v>
      </c>
      <c r="W39" s="126"/>
      <c r="X39" s="134" t="str">
        <f t="shared" ref="X39:X49" si="50">IF(W39=0,"-",L39-0.5*F39-E39)</f>
        <v>-</v>
      </c>
      <c r="Y39" s="170"/>
      <c r="Z39" s="132"/>
      <c r="AA39" s="126"/>
      <c r="AB39" s="126"/>
      <c r="AC39" s="131"/>
      <c r="AD39" s="127"/>
      <c r="AE39" s="226">
        <f t="shared" ref="AE39:AE49" si="51">IFERROR(DEGREES(ATAN(V39/U39)),0)</f>
        <v>0</v>
      </c>
      <c r="AF39" s="202">
        <f t="shared" ref="AF39:AF49" si="52">IFERROR(DEGREES(ATAN(W39/X39)),0)</f>
        <v>0</v>
      </c>
      <c r="AG39" s="228">
        <f t="shared" ref="AG39:AG49" si="53">IF(Y39&gt;0,IF((Z39-0.5*F39-E39)&gt;0,DEGREES(ATAN(Y39/(Z39-0.5*F39-E39))),90),0)</f>
        <v>0</v>
      </c>
      <c r="AH39" s="202">
        <f t="shared" ref="AH39:AH49" si="54">IFERROR(DEGREES(ATAN(AA39/AB39)),0)</f>
        <v>0</v>
      </c>
      <c r="AI39" s="202">
        <f t="shared" ref="AI39:AI49" si="55">IFERROR(DEGREES(ATAN(AC39/AD39)),0)</f>
        <v>0</v>
      </c>
      <c r="AJ39" s="203">
        <f>BQ39+0.0444*(H39-AW39)*(BR39-BQ39)</f>
        <v>1</v>
      </c>
      <c r="AK39" s="203">
        <f t="shared" ref="AK39:AK49" si="56">BS39+0.0444*(H39-AW39)*(BT39-BS39)</f>
        <v>1</v>
      </c>
      <c r="AL39" s="203">
        <f t="shared" ref="AL39:AL49" si="57">BW39+0.0444*(H39-AW39)*(BX39-BW39)</f>
        <v>1</v>
      </c>
      <c r="AM39" s="203">
        <f>BY39+0.0444*(H39-AW39)*(BZ39-BY39)</f>
        <v>1</v>
      </c>
      <c r="AN39" s="209">
        <f t="shared" ref="AN39:AN49" si="58">IF(H39=-1,"-",MROUND(H39, 22.5))</f>
        <v>0</v>
      </c>
      <c r="AO39" s="210"/>
      <c r="AP39" s="210"/>
      <c r="AQ39" s="210"/>
      <c r="AR39" s="210"/>
      <c r="AS39" s="210"/>
      <c r="AT39" s="210"/>
      <c r="AU39" s="210"/>
      <c r="AV39" s="210" t="s">
        <v>268</v>
      </c>
      <c r="AW39" s="210">
        <f t="shared" ref="AW39:AW49" si="59">IF(AN39-H39&lt;=0,AN39,AN39-22.5)</f>
        <v>0</v>
      </c>
      <c r="AX39" s="225">
        <f t="shared" ref="AX39:AX49" si="60">IF(AN39-H39=0,AN39,AW39+22.5)</f>
        <v>0</v>
      </c>
      <c r="AY39" s="209">
        <f t="shared" si="31"/>
        <v>0</v>
      </c>
      <c r="AZ39" s="210">
        <f t="shared" si="32"/>
        <v>0</v>
      </c>
      <c r="BA39" s="210">
        <f>INDEX(pin!$D$6:$T$42,MATCH(ΥΠΟΛΟΓΙΣΜΟΙ!AY39,pin!$B$6:$B$42,0),MATCH(ΥΠΟΛΟΓΙΣΜΟΙ!AW39,pin!$D$5:$T$5,0))+0.4*(AY39-AE39)*(INDEX(pin!$D$6:$T$42,MATCH(ΥΠΟΛΟΓΙΣΜΟΙ!AY39,pin!$B$6:$B$42,0),MATCH(ΥΠΟΛΟΓΙΣΜΟΙ!AW39,pin!$D$5:$T$5,0))-INDEX(pin!$D$6:$T$42,MATCH(ΥΠΟΛΟΓΙΣΜΟΙ!AZ39,pin!$B$6:$B$42,0),MATCH(ΥΠΟΛΟΓΙΣΜΟΙ!AW39,pin!$D$5:$T$5,0)))</f>
        <v>1</v>
      </c>
      <c r="BB39" s="225">
        <f>INDEX(pin!$D$6:$T$42,MATCH(ΥΠΟΛΟΓΙΣΜΟΙ!AY39,pin!$B$6:$B$42,0),MATCH(ΥΠΟΛΟΓΙΣΜΟΙ!AX39,pin!$D$5:$T$5,0))+0.4*(AY39-AE39)*(INDEX(pin!$D$6:$T$42,MATCH(ΥΠΟΛΟΓΙΣΜΟΙ!AY39,pin!$B$6:$B$42,0),MATCH(ΥΠΟΛΟΓΙΣΜΟΙ!AX39,pin!$D$5:$T$5,0))-INDEX(pin!$D$6:$T$42,MATCH(ΥΠΟΛΟΓΙΣΜΟΙ!AZ39,pin!$B$6:$B$42,0),MATCH(ΥΠΟΛΟΓΙΣΜΟΙ!AX39,pin!$D$5:$T$5,0)))</f>
        <v>1</v>
      </c>
      <c r="BC39" s="210">
        <f>INDEX(pin!$X$6:$AN$42,MATCH(ΥΠΟΛΟΓΙΣΜΟΙ!AY39,pin!$V$6:$V$42,0),MATCH(ΥΠΟΛΟΓΙΣΜΟΙ!AW39,pin!$X$5:$AN$5,0))+0.4*(AY39-AE39)*(INDEX(pin!$X$6:$AN$42,MATCH(ΥΠΟΛΟΓΙΣΜΟΙ!AY39,pin!$V$6:$V$42,0),MATCH(ΥΠΟΛΟΓΙΣΜΟΙ!AW39,pin!$X$5:$AN$5,0))-INDEX(pin!$X$6:$AN$42,MATCH(ΥΠΟΛΟΓΙΣΜΟΙ!AZ39,pin!$V$6:$V$42,0),MATCH(ΥΠΟΛΟΓΙΣΜΟΙ!AW39,pin!$X$5:$AN$5,0)))</f>
        <v>1</v>
      </c>
      <c r="BD39" s="210">
        <f>INDEX(pin!$X$6:$AN$42,MATCH(ΥΠΟΛΟΓΙΣΜΟΙ!AY39,pin!$V$6:$V$42,0),MATCH(ΥΠΟΛΟΓΙΣΜΟΙ!AX39,pin!$X$5:$AN$5,0))+0.4*(AY39-AE39)*(INDEX(pin!$X$6:$AN$42,MATCH(ΥΠΟΛΟΓΙΣΜΟΙ!AY39,pin!$V$6:$V$42,0),MATCH(ΥΠΟΛΟΓΙΣΜΟΙ!AX39,pin!$X$5:$AN$5,0))-INDEX(pin!$X$6:$AN$42,MATCH(ΥΠΟΛΟΓΙΣΜΟΙ!AZ39,pin!$V$6:$V$42,0),MATCH(ΥΠΟΛΟΓΙΣΜΟΙ!AX39,pin!$X$5:$AN$5,0)))</f>
        <v>1</v>
      </c>
      <c r="BE39" s="209">
        <f t="shared" si="33"/>
        <v>0</v>
      </c>
      <c r="BF39" s="210">
        <f t="shared" si="34"/>
        <v>0</v>
      </c>
      <c r="BG39" s="210">
        <f>INDEX(pin!$D$48:$T$84,MATCH(ΥΠΟΛΟΓΙΣΜΟΙ!BE39,pin!$B$48:$B$84,0),MATCH(ΥΠΟΛΟΓΙΣΜΟΙ!AW39,pin!$D$47:$T$47,0))+0.4*(BE39-AF39)*(INDEX(pin!$D$48:$T$84,MATCH(ΥΠΟΛΟΓΙΣΜΟΙ!BE39,pin!$B$48:$B$84,0),MATCH(ΥΠΟΛΟΓΙΣΜΟΙ!AW39,pin!$D$47:$T$47,0))-INDEX(pin!$D$48:$T$84,MATCH(ΥΠΟΛΟΓΙΣΜΟΙ!BF39,pin!$B$48:$B$84,0),MATCH(ΥΠΟΛΟΓΙΣΜΟΙ!AW39,pin!$D$47:$T$47,0)))</f>
        <v>1</v>
      </c>
      <c r="BH39" s="210">
        <f>INDEX(pin!$D$48:$T$84,MATCH(ΥΠΟΛΟΓΙΣΜΟΙ!BE39,pin!$B$48:$B$84,0),MATCH(ΥΠΟΛΟΓΙΣΜΟΙ!AX39,pin!$D$47:$T$47,0))+0.4*(BE39-AF39)*(INDEX(pin!$D$48:$T$84,MATCH(ΥΠΟΛΟΓΙΣΜΟΙ!BE39,pin!$B$48:$B$84,0),MATCH(ΥΠΟΛΟΓΙΣΜΟΙ!AX39,pin!$D$47:$T$47,0))-INDEX(pin!$D$48:$T$84,MATCH(ΥΠΟΛΟΓΙΣΜΟΙ!BF39,pin!$B$48:$B$84,0),MATCH(ΥΠΟΛΟΓΙΣΜΟΙ!AX39,pin!$D$47:$T$47,0)))</f>
        <v>1</v>
      </c>
      <c r="BI39" s="209">
        <f>INDEX(pin!$X$48:$AN$84,MATCH(ΥΠΟΛΟΓΙΣΜΟΙ!BE39,pin!$V$48:$V$84,0),MATCH(ΥΠΟΛΟΓΙΣΜΟΙ!AW39,pin!$X$47:$AN$47,0))+0.4*(BE39-AF39)*(INDEX(pin!$X$48:$AN$84,MATCH(ΥΠΟΛΟΓΙΣΜΟΙ!BE39,pin!$V$48:$V$84,0),MATCH(ΥΠΟΛΟΓΙΣΜΟΙ!AW39,pin!$X$47:$AN$47,0))-INDEX(pin!$X$48:$AN$84,MATCH(ΥΠΟΛΟΓΙΣΜΟΙ!BF39,pin!$V$48:$V$84,0),MATCH(ΥΠΟΛΟΓΙΣΜΟΙ!AW39,pin!$X$47:$AN$47,0)))</f>
        <v>1</v>
      </c>
      <c r="BJ39" s="225">
        <f>INDEX(pin!$X$48:$AN$84,MATCH(ΥΠΟΛΟΓΙΣΜΟΙ!BE39,pin!$V$48:$V$84,0),MATCH(ΥΠΟΛΟΓΙΣΜΟΙ!AX39,pin!$X$47:$AN$47,0))+0.4*(BE39-AF39)*(INDEX(pin!$X$48:$AN$84,MATCH(ΥΠΟΛΟΓΙΣΜΟΙ!BE39,pin!$V$48:$V$84,0),MATCH(ΥΠΟΛΟΓΙΣΜΟΙ!AX39,pin!$X$47:$AN$47,0))-INDEX(pin!$X$48:$AN$84,MATCH(ΥΠΟΛΟΓΙΣΜΟΙ!BF39,pin!$V$48:$V$84,0),MATCH(ΥΠΟΛΟΓΙΣΜΟΙ!AX39,pin!$X$47:$AN$47,0)))</f>
        <v>1</v>
      </c>
      <c r="BK39" s="209">
        <f t="shared" si="35"/>
        <v>0</v>
      </c>
      <c r="BL39" s="210">
        <f t="shared" si="36"/>
        <v>0</v>
      </c>
      <c r="BM39" s="210">
        <f>INDEX(pin!$X$48:$AN$84,MATCH(ΥΠΟΛΟΓΙΣΜΟΙ!BK39,pin!$V$48:$V$84,0),MATCH(ΥΠΟΛΟΓΙΣΜΟΙ!AW39,pin!$X$47:$AN$47,0))+0.4*(BK39-AG39)*(INDEX(pin!$X$48:$AN$84,MATCH(ΥΠΟΛΟΓΙΣΜΟΙ!BK39,pin!$V$48:$V$84,0),MATCH(ΥΠΟΛΟΓΙΣΜΟΙ!AW39,pin!$X$47:$AN$47,0))-INDEX(pin!$X$48:$AN$84,MATCH(ΥΠΟΛΟΓΙΣΜΟΙ!BL39,pin!$V$48:$V$84,0),MATCH(ΥΠΟΛΟΓΙΣΜΟΙ!AW39,pin!$X$47:$AN$47,0)))</f>
        <v>1</v>
      </c>
      <c r="BN39" s="225">
        <f>INDEX(pin!$X$48:$AN$84,MATCH(ΥΠΟΛΟΓΙΣΜΟΙ!BK39,pin!$V$48:$V$84,0),MATCH(ΥΠΟΛΟΓΙΣΜΟΙ!AX39,pin!$X$47:$AN$47,0))+0.4*(BK39-AG39)*(INDEX(pin!$X$48:$AN$84,MATCH(ΥΠΟΛΟΓΙΣΜΟΙ!BK39,pin!$V$48:$V$84,0),MATCH(ΥΠΟΛΟΓΙΣΜΟΙ!AX39,pin!$X$47:$AN$47,0))-INDEX(pin!$X$48:$AN$84,MATCH(ΥΠΟΛΟΓΙΣΜΟΙ!BL39,pin!$V$48:$V$84,0),MATCH(ΥΠΟΛΟΓΙΣΜΟΙ!AX39,pin!$X$47:$AN$47,0)))</f>
        <v>1</v>
      </c>
      <c r="BO39" s="209">
        <f t="shared" si="37"/>
        <v>0</v>
      </c>
      <c r="BP39" s="210">
        <f t="shared" si="38"/>
        <v>0</v>
      </c>
      <c r="BQ39" s="210">
        <f>INDEX(pin!$D$114:$T$132,MATCH(ΥΠΟΛΟΓΙΣΜΟΙ!BO39,pin!$B$114:$B$132,0),MATCH(ΥΠΟΛΟΓΙΣΜΟΙ!AW39,pin!$D$113:$T$113,0))+0.2*(BO39-AH39)*(INDEX(pin!$D$114:$T$132,MATCH(ΥΠΟΛΟΓΙΣΜΟΙ!BO39,pin!$B$114:$B$132,0),MATCH(ΥΠΟΛΟΓΙΣΜΟΙ!AW39,pin!$D$113:$T$113,0))-INDEX(pin!$D$114:$T$132,MATCH(ΥΠΟΛΟΓΙΣΜΟΙ!BP39,pin!$B$114:$B$132,0),MATCH(ΥΠΟΛΟΓΙΣΜΟΙ!AW39,pin!$D$113:$T$113,0)))</f>
        <v>1</v>
      </c>
      <c r="BR39" s="210">
        <f>INDEX(pin!$D$114:$T$132,MATCH(ΥΠΟΛΟΓΙΣΜΟΙ!BO39,pin!$B$114:$B$132,0),MATCH(ΥΠΟΛΟΓΙΣΜΟΙ!AX39,pin!$D$113:$T$113,0))+0.2*(BO39-AH39)*(INDEX(pin!$D$114:$T$132,MATCH(ΥΠΟΛΟΓΙΣΜΟΙ!BO39,pin!$B$114:$B$132,0),MATCH(ΥΠΟΛΟΓΙΣΜΟΙ!AX39,pin!$D$113:$T$113,0))-INDEX(pin!$D$114:$T$132,MATCH(ΥΠΟΛΟΓΙΣΜΟΙ!BP39,pin!$B$114:$B$132,0),MATCH(ΥΠΟΛΟΓΙΣΜΟΙ!AX39,pin!$D$113:$T$113,0)))</f>
        <v>1</v>
      </c>
      <c r="BS39" s="209">
        <f>INDEX(pin!$X$114:$AN$132,MATCH(ΥΠΟΛΟΓΙΣΜΟΙ!BO39,pin!$V$114:$V$132,0),MATCH(ΥΠΟΛΟΓΙΣΜΟΙ!AW39,pin!$X$113:$AN$113,0))+0.2*(BO39-AH39)*(INDEX(pin!$X$114:$AN$132,MATCH(ΥΠΟΛΟΓΙΣΜΟΙ!BO39,pin!$V$114:$V$132,0),MATCH(ΥΠΟΛΟΓΙΣΜΟΙ!AW39,pin!$X$113:$AN$113,0))-INDEX(pin!$X$114:$AN$132,MATCH(ΥΠΟΛΟΓΙΣΜΟΙ!BP39,pin!$V$114:$V$132,0),MATCH(ΥΠΟΛΟΓΙΣΜΟΙ!AW39,pin!$X$113:$AN$113,0)))</f>
        <v>1</v>
      </c>
      <c r="BT39" s="225">
        <f>INDEX(pin!$X$114:$AN$132,MATCH(ΥΠΟΛΟΓΙΣΜΟΙ!BO39,pin!$V$114:$V$132,0),MATCH(ΥΠΟΛΟΓΙΣΜΟΙ!AX39,pin!$X$113:$AN$113,0))+0.2*(BO39-AH39)*(INDEX(pin!$X$114:$AN$132,MATCH(ΥΠΟΛΟΓΙΣΜΟΙ!BO39,pin!$V$114:$V$132,0),MATCH(ΥΠΟΛΟΓΙΣΜΟΙ!AX39,pin!$X$113:$AN$113,0))-INDEX(pin!$X$114:$AN$132,MATCH(ΥΠΟΛΟΓΙΣΜΟΙ!BP39,pin!$V$114:$V$132,0),MATCH(ΥΠΟΛΟΓΙΣΜΟΙ!AX39,pin!$X$113:$AN$113,0)))</f>
        <v>1</v>
      </c>
      <c r="BU39" s="209">
        <f t="shared" si="39"/>
        <v>0</v>
      </c>
      <c r="BV39" s="210">
        <f t="shared" si="40"/>
        <v>0</v>
      </c>
      <c r="BW39" s="210">
        <f>INDEX(pin!$D$90:$T$108,MATCH(ΥΠΟΛΟΓΙΣΜΟΙ!BU39,pin!$B$90:$B$108,0),MATCH(ΥΠΟΛΟΓΙΣΜΟΙ!AW39,pin!$D$89:$T$89,0))+0.2*(BU39-AI39)*(INDEX(pin!$D$90:$T$108,MATCH(ΥΠΟΛΟΓΙΣΜΟΙ!BU39,pin!$B$90:$B$108,0),MATCH(ΥΠΟΛΟΓΙΣΜΟΙ!AW39,pin!$D$89:$T$89,0))-INDEX(pin!$D$90:$T$108,MATCH(ΥΠΟΛΟΓΙΣΜΟΙ!BV39,pin!$B$90:$B$108,0),MATCH(ΥΠΟΛΟΓΙΣΜΟΙ!AW39,pin!$D$89:$T$89,0)))</f>
        <v>1</v>
      </c>
      <c r="BX39" s="225">
        <f>INDEX(pin!$D$90:$T$108,MATCH(ΥΠΟΛΟΓΙΣΜΟΙ!BU39,pin!$B$90:$B$108,0),MATCH(ΥΠΟΛΟΓΙΣΜΟΙ!AX39,pin!$D$89:$T$89,0))+0.2*(BU39-AI39)*(INDEX(pin!$D$90:$T$108,MATCH(ΥΠΟΛΟΓΙΣΜΟΙ!BU39,pin!$B$90:$B$108,0),MATCH(ΥΠΟΛΟΓΙΣΜΟΙ!AX39,pin!$D$89:$T$89,0))-INDEX(pin!$D$90:$T$108,MATCH(ΥΠΟΛΟΓΙΣΜΟΙ!BV39,pin!$B$90:$B$108,0),MATCH(ΥΠΟΛΟΓΙΣΜΟΙ!AX39,pin!$D$89:$T$89,0)))</f>
        <v>1</v>
      </c>
      <c r="BY39" s="210">
        <f>INDEX(pin!$X$90:$AN$108,MATCH(ΥΠΟΛΟΓΙΣΜΟΙ!BU39,pin!$V$90:$V$108,0),MATCH(ΥΠΟΛΟΓΙΣΜΟΙ!AW39,pin!$X$89:$AN$89,0))+0.2*(BU39-AI39)*(INDEX(pin!$X$90:$AN$108,MATCH(ΥΠΟΛΟΓΙΣΜΟΙ!BU39,pin!$V$90:$V$108,0),MATCH(ΥΠΟΛΟΓΙΣΜΟΙ!AW39,pin!$X$89:$AN$89,0))-INDEX(pin!$X$90:$AN$108,MATCH(ΥΠΟΛΟΓΙΣΜΟΙ!BV39,pin!$V$90:$V$108,0),MATCH(ΥΠΟΛΟΓΙΣΜΟΙ!AW39,pin!$X$89:$AN$89,0)))</f>
        <v>1</v>
      </c>
      <c r="BZ39" s="225">
        <f>INDEX(pin!$X$90:$AN$108,MATCH(ΥΠΟΛΟΓΙΣΜΟΙ!BU39,pin!$V$90:$V$108,0),MATCH(ΥΠΟΛΟΓΙΣΜΟΙ!AX39,pin!$X$89:$AN$89,0))+0.2*(BU39-AI39)*(INDEX(pin!$X$90:$AN$108,MATCH(ΥΠΟΛΟΓΙΣΜΟΙ!BU39,pin!$V$90:$V$108,0),MATCH(ΥΠΟΛΟΓΙΣΜΟΙ!AX39,pin!$X$89:$AN$89,0))-INDEX(pin!$X$90:$AN$108,MATCH(ΥΠΟΛΟΓΙΣΜΟΙ!BV39,pin!$V$90:$V$108,0),MATCH(ΥΠΟΛΟΓΙΣΜΟΙ!AX39,pin!$X$89:$AN$89,0)))</f>
        <v>1</v>
      </c>
      <c r="CA39" s="211"/>
    </row>
    <row r="40" spans="1:79" s="34" customFormat="1">
      <c r="A40" s="56">
        <v>3</v>
      </c>
      <c r="B40" s="128"/>
      <c r="C40" s="126"/>
      <c r="D40" s="126"/>
      <c r="E40" s="126"/>
      <c r="F40" s="47" t="str">
        <f t="shared" si="41"/>
        <v>-</v>
      </c>
      <c r="G40" s="90" t="str">
        <f t="shared" si="42"/>
        <v>-</v>
      </c>
      <c r="H40" s="129"/>
      <c r="I40" s="129"/>
      <c r="J40" s="309" t="s">
        <v>653</v>
      </c>
      <c r="K40" s="133"/>
      <c r="L40" s="455"/>
      <c r="M40" s="454"/>
      <c r="N40" s="266"/>
      <c r="O40" s="46">
        <f t="shared" si="43"/>
        <v>1</v>
      </c>
      <c r="P40" s="130">
        <f t="shared" si="44"/>
        <v>1</v>
      </c>
      <c r="Q40" s="46">
        <f t="shared" si="45"/>
        <v>1</v>
      </c>
      <c r="R40" s="130">
        <f t="shared" si="46"/>
        <v>1</v>
      </c>
      <c r="S40" s="46">
        <f t="shared" si="47"/>
        <v>1</v>
      </c>
      <c r="T40" s="130">
        <f t="shared" si="48"/>
        <v>1</v>
      </c>
      <c r="U40" s="131"/>
      <c r="V40" s="134" t="str">
        <f t="shared" si="49"/>
        <v>-</v>
      </c>
      <c r="W40" s="126"/>
      <c r="X40" s="134" t="str">
        <f t="shared" si="50"/>
        <v>-</v>
      </c>
      <c r="Y40" s="170"/>
      <c r="Z40" s="132"/>
      <c r="AA40" s="126"/>
      <c r="AB40" s="126"/>
      <c r="AC40" s="131"/>
      <c r="AD40" s="127"/>
      <c r="AE40" s="226">
        <f t="shared" si="51"/>
        <v>0</v>
      </c>
      <c r="AF40" s="202">
        <f t="shared" si="52"/>
        <v>0</v>
      </c>
      <c r="AG40" s="228">
        <f t="shared" si="53"/>
        <v>0</v>
      </c>
      <c r="AH40" s="202">
        <f t="shared" si="54"/>
        <v>0</v>
      </c>
      <c r="AI40" s="202">
        <f t="shared" si="55"/>
        <v>0</v>
      </c>
      <c r="AJ40" s="203">
        <f t="shared" ref="AJ40:AJ49" si="61">BQ40+0.0444*(H40-AW40)*(BR40-BQ40)</f>
        <v>1</v>
      </c>
      <c r="AK40" s="203">
        <f t="shared" si="56"/>
        <v>1</v>
      </c>
      <c r="AL40" s="203">
        <f t="shared" si="57"/>
        <v>1</v>
      </c>
      <c r="AM40" s="203">
        <f t="shared" ref="AM40:AM49" si="62">BY40+0.0444*(H40-AW40)*(BZ40-BY40)</f>
        <v>1</v>
      </c>
      <c r="AN40" s="209">
        <f t="shared" si="58"/>
        <v>0</v>
      </c>
      <c r="AO40" s="210"/>
      <c r="AP40" s="210"/>
      <c r="AQ40" s="210"/>
      <c r="AR40" s="210"/>
      <c r="AS40" s="210"/>
      <c r="AT40" s="210"/>
      <c r="AU40" s="210"/>
      <c r="AV40" s="210" t="s">
        <v>268</v>
      </c>
      <c r="AW40" s="210">
        <f t="shared" si="59"/>
        <v>0</v>
      </c>
      <c r="AX40" s="225">
        <f t="shared" si="60"/>
        <v>0</v>
      </c>
      <c r="AY40" s="209">
        <f t="shared" si="31"/>
        <v>0</v>
      </c>
      <c r="AZ40" s="210">
        <f t="shared" si="32"/>
        <v>0</v>
      </c>
      <c r="BA40" s="210">
        <f>INDEX(pin!$D$6:$T$42,MATCH(ΥΠΟΛΟΓΙΣΜΟΙ!AY40,pin!$B$6:$B$42,0),MATCH(ΥΠΟΛΟΓΙΣΜΟΙ!AW40,pin!$D$5:$T$5,0))+0.4*(AY40-AE40)*(INDEX(pin!$D$6:$T$42,MATCH(ΥΠΟΛΟΓΙΣΜΟΙ!AY40,pin!$B$6:$B$42,0),MATCH(ΥΠΟΛΟΓΙΣΜΟΙ!AW40,pin!$D$5:$T$5,0))-INDEX(pin!$D$6:$T$42,MATCH(ΥΠΟΛΟΓΙΣΜΟΙ!AZ40,pin!$B$6:$B$42,0),MATCH(ΥΠΟΛΟΓΙΣΜΟΙ!AW40,pin!$D$5:$T$5,0)))</f>
        <v>1</v>
      </c>
      <c r="BB40" s="225">
        <f>INDEX(pin!$D$6:$T$42,MATCH(ΥΠΟΛΟΓΙΣΜΟΙ!AY40,pin!$B$6:$B$42,0),MATCH(ΥΠΟΛΟΓΙΣΜΟΙ!AX40,pin!$D$5:$T$5,0))+0.4*(AY40-AE40)*(INDEX(pin!$D$6:$T$42,MATCH(ΥΠΟΛΟΓΙΣΜΟΙ!AY40,pin!$B$6:$B$42,0),MATCH(ΥΠΟΛΟΓΙΣΜΟΙ!AX40,pin!$D$5:$T$5,0))-INDEX(pin!$D$6:$T$42,MATCH(ΥΠΟΛΟΓΙΣΜΟΙ!AZ40,pin!$B$6:$B$42,0),MATCH(ΥΠΟΛΟΓΙΣΜΟΙ!AX40,pin!$D$5:$T$5,0)))</f>
        <v>1</v>
      </c>
      <c r="BC40" s="210">
        <f>INDEX(pin!$X$6:$AN$42,MATCH(ΥΠΟΛΟΓΙΣΜΟΙ!AY40,pin!$V$6:$V$42,0),MATCH(ΥΠΟΛΟΓΙΣΜΟΙ!AW40,pin!$X$5:$AN$5,0))+0.4*(AY40-AE40)*(INDEX(pin!$X$6:$AN$42,MATCH(ΥΠΟΛΟΓΙΣΜΟΙ!AY40,pin!$V$6:$V$42,0),MATCH(ΥΠΟΛΟΓΙΣΜΟΙ!AW40,pin!$X$5:$AN$5,0))-INDEX(pin!$X$6:$AN$42,MATCH(ΥΠΟΛΟΓΙΣΜΟΙ!AZ40,pin!$V$6:$V$42,0),MATCH(ΥΠΟΛΟΓΙΣΜΟΙ!AW40,pin!$X$5:$AN$5,0)))</f>
        <v>1</v>
      </c>
      <c r="BD40" s="210">
        <f>INDEX(pin!$X$6:$AN$42,MATCH(ΥΠΟΛΟΓΙΣΜΟΙ!AY40,pin!$V$6:$V$42,0),MATCH(ΥΠΟΛΟΓΙΣΜΟΙ!AX40,pin!$X$5:$AN$5,0))+0.4*(AY40-AE40)*(INDEX(pin!$X$6:$AN$42,MATCH(ΥΠΟΛΟΓΙΣΜΟΙ!AY40,pin!$V$6:$V$42,0),MATCH(ΥΠΟΛΟΓΙΣΜΟΙ!AX40,pin!$X$5:$AN$5,0))-INDEX(pin!$X$6:$AN$42,MATCH(ΥΠΟΛΟΓΙΣΜΟΙ!AZ40,pin!$V$6:$V$42,0),MATCH(ΥΠΟΛΟΓΙΣΜΟΙ!AX40,pin!$X$5:$AN$5,0)))</f>
        <v>1</v>
      </c>
      <c r="BE40" s="209">
        <f t="shared" si="33"/>
        <v>0</v>
      </c>
      <c r="BF40" s="210">
        <f t="shared" si="34"/>
        <v>0</v>
      </c>
      <c r="BG40" s="210">
        <f>INDEX(pin!$D$48:$T$84,MATCH(ΥΠΟΛΟΓΙΣΜΟΙ!BE40,pin!$B$48:$B$84,0),MATCH(ΥΠΟΛΟΓΙΣΜΟΙ!AW40,pin!$D$47:$T$47,0))+0.4*(BE40-AF40)*(INDEX(pin!$D$48:$T$84,MATCH(ΥΠΟΛΟΓΙΣΜΟΙ!BE40,pin!$B$48:$B$84,0),MATCH(ΥΠΟΛΟΓΙΣΜΟΙ!AW40,pin!$D$47:$T$47,0))-INDEX(pin!$D$48:$T$84,MATCH(ΥΠΟΛΟΓΙΣΜΟΙ!BF40,pin!$B$48:$B$84,0),MATCH(ΥΠΟΛΟΓΙΣΜΟΙ!AW40,pin!$D$47:$T$47,0)))</f>
        <v>1</v>
      </c>
      <c r="BH40" s="210">
        <f>INDEX(pin!$D$48:$T$84,MATCH(ΥΠΟΛΟΓΙΣΜΟΙ!BE40,pin!$B$48:$B$84,0),MATCH(ΥΠΟΛΟΓΙΣΜΟΙ!AX40,pin!$D$47:$T$47,0))+0.4*(BE40-AF40)*(INDEX(pin!$D$48:$T$84,MATCH(ΥΠΟΛΟΓΙΣΜΟΙ!BE40,pin!$B$48:$B$84,0),MATCH(ΥΠΟΛΟΓΙΣΜΟΙ!AX40,pin!$D$47:$T$47,0))-INDEX(pin!$D$48:$T$84,MATCH(ΥΠΟΛΟΓΙΣΜΟΙ!BF40,pin!$B$48:$B$84,0),MATCH(ΥΠΟΛΟΓΙΣΜΟΙ!AX40,pin!$D$47:$T$47,0)))</f>
        <v>1</v>
      </c>
      <c r="BI40" s="209">
        <f>INDEX(pin!$X$48:$AN$84,MATCH(ΥΠΟΛΟΓΙΣΜΟΙ!BE40,pin!$V$48:$V$84,0),MATCH(ΥΠΟΛΟΓΙΣΜΟΙ!AW40,pin!$X$47:$AN$47,0))+0.4*(BE40-AF40)*(INDEX(pin!$X$48:$AN$84,MATCH(ΥΠΟΛΟΓΙΣΜΟΙ!BE40,pin!$V$48:$V$84,0),MATCH(ΥΠΟΛΟΓΙΣΜΟΙ!AW40,pin!$X$47:$AN$47,0))-INDEX(pin!$X$48:$AN$84,MATCH(ΥΠΟΛΟΓΙΣΜΟΙ!BF40,pin!$V$48:$V$84,0),MATCH(ΥΠΟΛΟΓΙΣΜΟΙ!AW40,pin!$X$47:$AN$47,0)))</f>
        <v>1</v>
      </c>
      <c r="BJ40" s="225">
        <f>INDEX(pin!$X$48:$AN$84,MATCH(ΥΠΟΛΟΓΙΣΜΟΙ!BE40,pin!$V$48:$V$84,0),MATCH(ΥΠΟΛΟΓΙΣΜΟΙ!AX40,pin!$X$47:$AN$47,0))+0.4*(BE40-AF40)*(INDEX(pin!$X$48:$AN$84,MATCH(ΥΠΟΛΟΓΙΣΜΟΙ!BE40,pin!$V$48:$V$84,0),MATCH(ΥΠΟΛΟΓΙΣΜΟΙ!AX40,pin!$X$47:$AN$47,0))-INDEX(pin!$X$48:$AN$84,MATCH(ΥΠΟΛΟΓΙΣΜΟΙ!BF40,pin!$V$48:$V$84,0),MATCH(ΥΠΟΛΟΓΙΣΜΟΙ!AX40,pin!$X$47:$AN$47,0)))</f>
        <v>1</v>
      </c>
      <c r="BK40" s="209">
        <f t="shared" si="35"/>
        <v>0</v>
      </c>
      <c r="BL40" s="210">
        <f t="shared" si="36"/>
        <v>0</v>
      </c>
      <c r="BM40" s="210">
        <f>INDEX(pin!$X$48:$AN$84,MATCH(ΥΠΟΛΟΓΙΣΜΟΙ!BK40,pin!$V$48:$V$84,0),MATCH(ΥΠΟΛΟΓΙΣΜΟΙ!AW40,pin!$X$47:$AN$47,0))+0.4*(BK40-AG40)*(INDEX(pin!$X$48:$AN$84,MATCH(ΥΠΟΛΟΓΙΣΜΟΙ!BK40,pin!$V$48:$V$84,0),MATCH(ΥΠΟΛΟΓΙΣΜΟΙ!AW40,pin!$X$47:$AN$47,0))-INDEX(pin!$X$48:$AN$84,MATCH(ΥΠΟΛΟΓΙΣΜΟΙ!BL40,pin!$V$48:$V$84,0),MATCH(ΥΠΟΛΟΓΙΣΜΟΙ!AW40,pin!$X$47:$AN$47,0)))</f>
        <v>1</v>
      </c>
      <c r="BN40" s="225">
        <f>INDEX(pin!$X$48:$AN$84,MATCH(ΥΠΟΛΟΓΙΣΜΟΙ!BK40,pin!$V$48:$V$84,0),MATCH(ΥΠΟΛΟΓΙΣΜΟΙ!AX40,pin!$X$47:$AN$47,0))+0.4*(BK40-AG40)*(INDEX(pin!$X$48:$AN$84,MATCH(ΥΠΟΛΟΓΙΣΜΟΙ!BK40,pin!$V$48:$V$84,0),MATCH(ΥΠΟΛΟΓΙΣΜΟΙ!AX40,pin!$X$47:$AN$47,0))-INDEX(pin!$X$48:$AN$84,MATCH(ΥΠΟΛΟΓΙΣΜΟΙ!BL40,pin!$V$48:$V$84,0),MATCH(ΥΠΟΛΟΓΙΣΜΟΙ!AX40,pin!$X$47:$AN$47,0)))</f>
        <v>1</v>
      </c>
      <c r="BO40" s="209">
        <f t="shared" si="37"/>
        <v>0</v>
      </c>
      <c r="BP40" s="210">
        <f t="shared" si="38"/>
        <v>0</v>
      </c>
      <c r="BQ40" s="210">
        <f>INDEX(pin!$D$114:$T$132,MATCH(ΥΠΟΛΟΓΙΣΜΟΙ!BO40,pin!$B$114:$B$132,0),MATCH(ΥΠΟΛΟΓΙΣΜΟΙ!AW40,pin!$D$113:$T$113,0))+0.2*(BO40-AH40)*(INDEX(pin!$D$114:$T$132,MATCH(ΥΠΟΛΟΓΙΣΜΟΙ!BO40,pin!$B$114:$B$132,0),MATCH(ΥΠΟΛΟΓΙΣΜΟΙ!AW40,pin!$D$113:$T$113,0))-INDEX(pin!$D$114:$T$132,MATCH(ΥΠΟΛΟΓΙΣΜΟΙ!BP40,pin!$B$114:$B$132,0),MATCH(ΥΠΟΛΟΓΙΣΜΟΙ!AW40,pin!$D$113:$T$113,0)))</f>
        <v>1</v>
      </c>
      <c r="BR40" s="210">
        <f>INDEX(pin!$D$114:$T$132,MATCH(ΥΠΟΛΟΓΙΣΜΟΙ!BO40,pin!$B$114:$B$132,0),MATCH(ΥΠΟΛΟΓΙΣΜΟΙ!AX40,pin!$D$113:$T$113,0))+0.2*(BO40-AH40)*(INDEX(pin!$D$114:$T$132,MATCH(ΥΠΟΛΟΓΙΣΜΟΙ!BO40,pin!$B$114:$B$132,0),MATCH(ΥΠΟΛΟΓΙΣΜΟΙ!AX40,pin!$D$113:$T$113,0))-INDEX(pin!$D$114:$T$132,MATCH(ΥΠΟΛΟΓΙΣΜΟΙ!BP40,pin!$B$114:$B$132,0),MATCH(ΥΠΟΛΟΓΙΣΜΟΙ!AX40,pin!$D$113:$T$113,0)))</f>
        <v>1</v>
      </c>
      <c r="BS40" s="209">
        <f>INDEX(pin!$X$114:$AN$132,MATCH(ΥΠΟΛΟΓΙΣΜΟΙ!BO40,pin!$V$114:$V$132,0),MATCH(ΥΠΟΛΟΓΙΣΜΟΙ!AW40,pin!$X$113:$AN$113,0))+0.2*(BO40-AH40)*(INDEX(pin!$X$114:$AN$132,MATCH(ΥΠΟΛΟΓΙΣΜΟΙ!BO40,pin!$V$114:$V$132,0),MATCH(ΥΠΟΛΟΓΙΣΜΟΙ!AW40,pin!$X$113:$AN$113,0))-INDEX(pin!$X$114:$AN$132,MATCH(ΥΠΟΛΟΓΙΣΜΟΙ!BP40,pin!$V$114:$V$132,0),MATCH(ΥΠΟΛΟΓΙΣΜΟΙ!AW40,pin!$X$113:$AN$113,0)))</f>
        <v>1</v>
      </c>
      <c r="BT40" s="225">
        <f>INDEX(pin!$X$114:$AN$132,MATCH(ΥΠΟΛΟΓΙΣΜΟΙ!BO40,pin!$V$114:$V$132,0),MATCH(ΥΠΟΛΟΓΙΣΜΟΙ!AX40,pin!$X$113:$AN$113,0))+0.2*(BO40-AH40)*(INDEX(pin!$X$114:$AN$132,MATCH(ΥΠΟΛΟΓΙΣΜΟΙ!BO40,pin!$V$114:$V$132,0),MATCH(ΥΠΟΛΟΓΙΣΜΟΙ!AX40,pin!$X$113:$AN$113,0))-INDEX(pin!$X$114:$AN$132,MATCH(ΥΠΟΛΟΓΙΣΜΟΙ!BP40,pin!$V$114:$V$132,0),MATCH(ΥΠΟΛΟΓΙΣΜΟΙ!AX40,pin!$X$113:$AN$113,0)))</f>
        <v>1</v>
      </c>
      <c r="BU40" s="209">
        <f t="shared" si="39"/>
        <v>0</v>
      </c>
      <c r="BV40" s="210">
        <f t="shared" si="40"/>
        <v>0</v>
      </c>
      <c r="BW40" s="210">
        <f>INDEX(pin!$D$90:$T$108,MATCH(ΥΠΟΛΟΓΙΣΜΟΙ!BU40,pin!$B$90:$B$108,0),MATCH(ΥΠΟΛΟΓΙΣΜΟΙ!AW40,pin!$D$89:$T$89,0))+0.2*(BU40-AI40)*(INDEX(pin!$D$90:$T$108,MATCH(ΥΠΟΛΟΓΙΣΜΟΙ!BU40,pin!$B$90:$B$108,0),MATCH(ΥΠΟΛΟΓΙΣΜΟΙ!AW40,pin!$D$89:$T$89,0))-INDEX(pin!$D$90:$T$108,MATCH(ΥΠΟΛΟΓΙΣΜΟΙ!BV40,pin!$B$90:$B$108,0),MATCH(ΥΠΟΛΟΓΙΣΜΟΙ!AW40,pin!$D$89:$T$89,0)))</f>
        <v>1</v>
      </c>
      <c r="BX40" s="225">
        <f>INDEX(pin!$D$90:$T$108,MATCH(ΥΠΟΛΟΓΙΣΜΟΙ!BU40,pin!$B$90:$B$108,0),MATCH(ΥΠΟΛΟΓΙΣΜΟΙ!AX40,pin!$D$89:$T$89,0))+0.2*(BU40-AI40)*(INDEX(pin!$D$90:$T$108,MATCH(ΥΠΟΛΟΓΙΣΜΟΙ!BU40,pin!$B$90:$B$108,0),MATCH(ΥΠΟΛΟΓΙΣΜΟΙ!AX40,pin!$D$89:$T$89,0))-INDEX(pin!$D$90:$T$108,MATCH(ΥΠΟΛΟΓΙΣΜΟΙ!BV40,pin!$B$90:$B$108,0),MATCH(ΥΠΟΛΟΓΙΣΜΟΙ!AX40,pin!$D$89:$T$89,0)))</f>
        <v>1</v>
      </c>
      <c r="BY40" s="210">
        <f>INDEX(pin!$X$90:$AN$108,MATCH(ΥΠΟΛΟΓΙΣΜΟΙ!BU40,pin!$V$90:$V$108,0),MATCH(ΥΠΟΛΟΓΙΣΜΟΙ!AW40,pin!$X$89:$AN$89,0))+0.2*(BU40-AI40)*(INDEX(pin!$X$90:$AN$108,MATCH(ΥΠΟΛΟΓΙΣΜΟΙ!BU40,pin!$V$90:$V$108,0),MATCH(ΥΠΟΛΟΓΙΣΜΟΙ!AW40,pin!$X$89:$AN$89,0))-INDEX(pin!$X$90:$AN$108,MATCH(ΥΠΟΛΟΓΙΣΜΟΙ!BV40,pin!$V$90:$V$108,0),MATCH(ΥΠΟΛΟΓΙΣΜΟΙ!AW40,pin!$X$89:$AN$89,0)))</f>
        <v>1</v>
      </c>
      <c r="BZ40" s="225">
        <f>INDEX(pin!$X$90:$AN$108,MATCH(ΥΠΟΛΟΓΙΣΜΟΙ!BU40,pin!$V$90:$V$108,0),MATCH(ΥΠΟΛΟΓΙΣΜΟΙ!AX40,pin!$X$89:$AN$89,0))+0.2*(BU40-AI40)*(INDEX(pin!$X$90:$AN$108,MATCH(ΥΠΟΛΟΓΙΣΜΟΙ!BU40,pin!$V$90:$V$108,0),MATCH(ΥΠΟΛΟΓΙΣΜΟΙ!AX40,pin!$X$89:$AN$89,0))-INDEX(pin!$X$90:$AN$108,MATCH(ΥΠΟΛΟΓΙΣΜΟΙ!BV40,pin!$V$90:$V$108,0),MATCH(ΥΠΟΛΟΓΙΣΜΟΙ!AX40,pin!$X$89:$AN$89,0)))</f>
        <v>1</v>
      </c>
      <c r="CA40" s="211"/>
    </row>
    <row r="41" spans="1:79" s="34" customFormat="1">
      <c r="A41" s="56">
        <v>4</v>
      </c>
      <c r="B41" s="128"/>
      <c r="C41" s="126"/>
      <c r="D41" s="126"/>
      <c r="E41" s="126"/>
      <c r="F41" s="47" t="str">
        <f t="shared" si="41"/>
        <v>-</v>
      </c>
      <c r="G41" s="90" t="str">
        <f t="shared" si="42"/>
        <v>-</v>
      </c>
      <c r="H41" s="129"/>
      <c r="I41" s="129"/>
      <c r="J41" s="309" t="s">
        <v>653</v>
      </c>
      <c r="K41" s="133"/>
      <c r="L41" s="455"/>
      <c r="M41" s="454"/>
      <c r="N41" s="266"/>
      <c r="O41" s="46">
        <f t="shared" si="43"/>
        <v>1</v>
      </c>
      <c r="P41" s="130">
        <f t="shared" si="44"/>
        <v>1</v>
      </c>
      <c r="Q41" s="46">
        <f t="shared" si="45"/>
        <v>1</v>
      </c>
      <c r="R41" s="130">
        <f t="shared" si="46"/>
        <v>1</v>
      </c>
      <c r="S41" s="46">
        <f t="shared" si="47"/>
        <v>1</v>
      </c>
      <c r="T41" s="130">
        <f t="shared" si="48"/>
        <v>1</v>
      </c>
      <c r="U41" s="131"/>
      <c r="V41" s="134" t="str">
        <f t="shared" si="49"/>
        <v>-</v>
      </c>
      <c r="W41" s="126"/>
      <c r="X41" s="134" t="str">
        <f t="shared" si="50"/>
        <v>-</v>
      </c>
      <c r="Y41" s="170"/>
      <c r="Z41" s="132"/>
      <c r="AA41" s="126"/>
      <c r="AB41" s="126"/>
      <c r="AC41" s="131"/>
      <c r="AD41" s="127"/>
      <c r="AE41" s="226">
        <f t="shared" si="51"/>
        <v>0</v>
      </c>
      <c r="AF41" s="202">
        <f t="shared" si="52"/>
        <v>0</v>
      </c>
      <c r="AG41" s="228">
        <f t="shared" si="53"/>
        <v>0</v>
      </c>
      <c r="AH41" s="202">
        <f t="shared" si="54"/>
        <v>0</v>
      </c>
      <c r="AI41" s="202">
        <f t="shared" si="55"/>
        <v>0</v>
      </c>
      <c r="AJ41" s="203">
        <f t="shared" si="61"/>
        <v>1</v>
      </c>
      <c r="AK41" s="203">
        <f t="shared" si="56"/>
        <v>1</v>
      </c>
      <c r="AL41" s="203">
        <f t="shared" si="57"/>
        <v>1</v>
      </c>
      <c r="AM41" s="203">
        <f t="shared" si="62"/>
        <v>1</v>
      </c>
      <c r="AN41" s="209">
        <f t="shared" si="58"/>
        <v>0</v>
      </c>
      <c r="AO41" s="210"/>
      <c r="AP41" s="210"/>
      <c r="AQ41" s="210"/>
      <c r="AR41" s="210"/>
      <c r="AS41" s="210"/>
      <c r="AT41" s="210"/>
      <c r="AU41" s="210"/>
      <c r="AV41" s="210" t="s">
        <v>268</v>
      </c>
      <c r="AW41" s="210">
        <f t="shared" si="59"/>
        <v>0</v>
      </c>
      <c r="AX41" s="225">
        <f t="shared" si="60"/>
        <v>0</v>
      </c>
      <c r="AY41" s="209">
        <f t="shared" si="31"/>
        <v>0</v>
      </c>
      <c r="AZ41" s="210">
        <f t="shared" si="32"/>
        <v>0</v>
      </c>
      <c r="BA41" s="210">
        <f>INDEX(pin!$D$6:$T$42,MATCH(ΥΠΟΛΟΓΙΣΜΟΙ!AY41,pin!$B$6:$B$42,0),MATCH(ΥΠΟΛΟΓΙΣΜΟΙ!AW41,pin!$D$5:$T$5,0))+0.4*(AY41-AE41)*(INDEX(pin!$D$6:$T$42,MATCH(ΥΠΟΛΟΓΙΣΜΟΙ!AY41,pin!$B$6:$B$42,0),MATCH(ΥΠΟΛΟΓΙΣΜΟΙ!AW41,pin!$D$5:$T$5,0))-INDEX(pin!$D$6:$T$42,MATCH(ΥΠΟΛΟΓΙΣΜΟΙ!AZ41,pin!$B$6:$B$42,0),MATCH(ΥΠΟΛΟΓΙΣΜΟΙ!AW41,pin!$D$5:$T$5,0)))</f>
        <v>1</v>
      </c>
      <c r="BB41" s="225">
        <f>INDEX(pin!$D$6:$T$42,MATCH(ΥΠΟΛΟΓΙΣΜΟΙ!AY41,pin!$B$6:$B$42,0),MATCH(ΥΠΟΛΟΓΙΣΜΟΙ!AX41,pin!$D$5:$T$5,0))+0.4*(AY41-AE41)*(INDEX(pin!$D$6:$T$42,MATCH(ΥΠΟΛΟΓΙΣΜΟΙ!AY41,pin!$B$6:$B$42,0),MATCH(ΥΠΟΛΟΓΙΣΜΟΙ!AX41,pin!$D$5:$T$5,0))-INDEX(pin!$D$6:$T$42,MATCH(ΥΠΟΛΟΓΙΣΜΟΙ!AZ41,pin!$B$6:$B$42,0),MATCH(ΥΠΟΛΟΓΙΣΜΟΙ!AX41,pin!$D$5:$T$5,0)))</f>
        <v>1</v>
      </c>
      <c r="BC41" s="210">
        <f>INDEX(pin!$X$6:$AN$42,MATCH(ΥΠΟΛΟΓΙΣΜΟΙ!AY41,pin!$V$6:$V$42,0),MATCH(ΥΠΟΛΟΓΙΣΜΟΙ!AW41,pin!$X$5:$AN$5,0))+0.4*(AY41-AE41)*(INDEX(pin!$X$6:$AN$42,MATCH(ΥΠΟΛΟΓΙΣΜΟΙ!AY41,pin!$V$6:$V$42,0),MATCH(ΥΠΟΛΟΓΙΣΜΟΙ!AW41,pin!$X$5:$AN$5,0))-INDEX(pin!$X$6:$AN$42,MATCH(ΥΠΟΛΟΓΙΣΜΟΙ!AZ41,pin!$V$6:$V$42,0),MATCH(ΥΠΟΛΟΓΙΣΜΟΙ!AW41,pin!$X$5:$AN$5,0)))</f>
        <v>1</v>
      </c>
      <c r="BD41" s="210">
        <f>INDEX(pin!$X$6:$AN$42,MATCH(ΥΠΟΛΟΓΙΣΜΟΙ!AY41,pin!$V$6:$V$42,0),MATCH(ΥΠΟΛΟΓΙΣΜΟΙ!AX41,pin!$X$5:$AN$5,0))+0.4*(AY41-AE41)*(INDEX(pin!$X$6:$AN$42,MATCH(ΥΠΟΛΟΓΙΣΜΟΙ!AY41,pin!$V$6:$V$42,0),MATCH(ΥΠΟΛΟΓΙΣΜΟΙ!AX41,pin!$X$5:$AN$5,0))-INDEX(pin!$X$6:$AN$42,MATCH(ΥΠΟΛΟΓΙΣΜΟΙ!AZ41,pin!$V$6:$V$42,0),MATCH(ΥΠΟΛΟΓΙΣΜΟΙ!AX41,pin!$X$5:$AN$5,0)))</f>
        <v>1</v>
      </c>
      <c r="BE41" s="209">
        <f t="shared" si="33"/>
        <v>0</v>
      </c>
      <c r="BF41" s="210">
        <f t="shared" si="34"/>
        <v>0</v>
      </c>
      <c r="BG41" s="210">
        <f>INDEX(pin!$D$48:$T$84,MATCH(ΥΠΟΛΟΓΙΣΜΟΙ!BE41,pin!$B$48:$B$84,0),MATCH(ΥΠΟΛΟΓΙΣΜΟΙ!AW41,pin!$D$47:$T$47,0))+0.4*(BE41-AF41)*(INDEX(pin!$D$48:$T$84,MATCH(ΥΠΟΛΟΓΙΣΜΟΙ!BE41,pin!$B$48:$B$84,0),MATCH(ΥΠΟΛΟΓΙΣΜΟΙ!AW41,pin!$D$47:$T$47,0))-INDEX(pin!$D$48:$T$84,MATCH(ΥΠΟΛΟΓΙΣΜΟΙ!BF41,pin!$B$48:$B$84,0),MATCH(ΥΠΟΛΟΓΙΣΜΟΙ!AW41,pin!$D$47:$T$47,0)))</f>
        <v>1</v>
      </c>
      <c r="BH41" s="210">
        <f>INDEX(pin!$D$48:$T$84,MATCH(ΥΠΟΛΟΓΙΣΜΟΙ!BE41,pin!$B$48:$B$84,0),MATCH(ΥΠΟΛΟΓΙΣΜΟΙ!AX41,pin!$D$47:$T$47,0))+0.4*(BE41-AF41)*(INDEX(pin!$D$48:$T$84,MATCH(ΥΠΟΛΟΓΙΣΜΟΙ!BE41,pin!$B$48:$B$84,0),MATCH(ΥΠΟΛΟΓΙΣΜΟΙ!AX41,pin!$D$47:$T$47,0))-INDEX(pin!$D$48:$T$84,MATCH(ΥΠΟΛΟΓΙΣΜΟΙ!BF41,pin!$B$48:$B$84,0),MATCH(ΥΠΟΛΟΓΙΣΜΟΙ!AX41,pin!$D$47:$T$47,0)))</f>
        <v>1</v>
      </c>
      <c r="BI41" s="209">
        <f>INDEX(pin!$X$48:$AN$84,MATCH(ΥΠΟΛΟΓΙΣΜΟΙ!BE41,pin!$V$48:$V$84,0),MATCH(ΥΠΟΛΟΓΙΣΜΟΙ!AW41,pin!$X$47:$AN$47,0))+0.4*(BE41-AF41)*(INDEX(pin!$X$48:$AN$84,MATCH(ΥΠΟΛΟΓΙΣΜΟΙ!BE41,pin!$V$48:$V$84,0),MATCH(ΥΠΟΛΟΓΙΣΜΟΙ!AW41,pin!$X$47:$AN$47,0))-INDEX(pin!$X$48:$AN$84,MATCH(ΥΠΟΛΟΓΙΣΜΟΙ!BF41,pin!$V$48:$V$84,0),MATCH(ΥΠΟΛΟΓΙΣΜΟΙ!AW41,pin!$X$47:$AN$47,0)))</f>
        <v>1</v>
      </c>
      <c r="BJ41" s="225">
        <f>INDEX(pin!$X$48:$AN$84,MATCH(ΥΠΟΛΟΓΙΣΜΟΙ!BE41,pin!$V$48:$V$84,0),MATCH(ΥΠΟΛΟΓΙΣΜΟΙ!AX41,pin!$X$47:$AN$47,0))+0.4*(BE41-AF41)*(INDEX(pin!$X$48:$AN$84,MATCH(ΥΠΟΛΟΓΙΣΜΟΙ!BE41,pin!$V$48:$V$84,0),MATCH(ΥΠΟΛΟΓΙΣΜΟΙ!AX41,pin!$X$47:$AN$47,0))-INDEX(pin!$X$48:$AN$84,MATCH(ΥΠΟΛΟΓΙΣΜΟΙ!BF41,pin!$V$48:$V$84,0),MATCH(ΥΠΟΛΟΓΙΣΜΟΙ!AX41,pin!$X$47:$AN$47,0)))</f>
        <v>1</v>
      </c>
      <c r="BK41" s="209">
        <f t="shared" si="35"/>
        <v>0</v>
      </c>
      <c r="BL41" s="210">
        <f t="shared" si="36"/>
        <v>0</v>
      </c>
      <c r="BM41" s="210">
        <f>INDEX(pin!$X$48:$AN$84,MATCH(ΥΠΟΛΟΓΙΣΜΟΙ!BK41,pin!$V$48:$V$84,0),MATCH(ΥΠΟΛΟΓΙΣΜΟΙ!AW41,pin!$X$47:$AN$47,0))+0.4*(BK41-AG41)*(INDEX(pin!$X$48:$AN$84,MATCH(ΥΠΟΛΟΓΙΣΜΟΙ!BK41,pin!$V$48:$V$84,0),MATCH(ΥΠΟΛΟΓΙΣΜΟΙ!AW41,pin!$X$47:$AN$47,0))-INDEX(pin!$X$48:$AN$84,MATCH(ΥΠΟΛΟΓΙΣΜΟΙ!BL41,pin!$V$48:$V$84,0),MATCH(ΥΠΟΛΟΓΙΣΜΟΙ!AW41,pin!$X$47:$AN$47,0)))</f>
        <v>1</v>
      </c>
      <c r="BN41" s="225">
        <f>INDEX(pin!$X$48:$AN$84,MATCH(ΥΠΟΛΟΓΙΣΜΟΙ!BK41,pin!$V$48:$V$84,0),MATCH(ΥΠΟΛΟΓΙΣΜΟΙ!AX41,pin!$X$47:$AN$47,0))+0.4*(BK41-AG41)*(INDEX(pin!$X$48:$AN$84,MATCH(ΥΠΟΛΟΓΙΣΜΟΙ!BK41,pin!$V$48:$V$84,0),MATCH(ΥΠΟΛΟΓΙΣΜΟΙ!AX41,pin!$X$47:$AN$47,0))-INDEX(pin!$X$48:$AN$84,MATCH(ΥΠΟΛΟΓΙΣΜΟΙ!BL41,pin!$V$48:$V$84,0),MATCH(ΥΠΟΛΟΓΙΣΜΟΙ!AX41,pin!$X$47:$AN$47,0)))</f>
        <v>1</v>
      </c>
      <c r="BO41" s="209">
        <f t="shared" si="37"/>
        <v>0</v>
      </c>
      <c r="BP41" s="210">
        <f t="shared" si="38"/>
        <v>0</v>
      </c>
      <c r="BQ41" s="210">
        <f>INDEX(pin!$D$114:$T$132,MATCH(ΥΠΟΛΟΓΙΣΜΟΙ!BO41,pin!$B$114:$B$132,0),MATCH(ΥΠΟΛΟΓΙΣΜΟΙ!AW41,pin!$D$113:$T$113,0))+0.2*(BO41-AH41)*(INDEX(pin!$D$114:$T$132,MATCH(ΥΠΟΛΟΓΙΣΜΟΙ!BO41,pin!$B$114:$B$132,0),MATCH(ΥΠΟΛΟΓΙΣΜΟΙ!AW41,pin!$D$113:$T$113,0))-INDEX(pin!$D$114:$T$132,MATCH(ΥΠΟΛΟΓΙΣΜΟΙ!BP41,pin!$B$114:$B$132,0),MATCH(ΥΠΟΛΟΓΙΣΜΟΙ!AW41,pin!$D$113:$T$113,0)))</f>
        <v>1</v>
      </c>
      <c r="BR41" s="210">
        <f>INDEX(pin!$D$114:$T$132,MATCH(ΥΠΟΛΟΓΙΣΜΟΙ!BO41,pin!$B$114:$B$132,0),MATCH(ΥΠΟΛΟΓΙΣΜΟΙ!AX41,pin!$D$113:$T$113,0))+0.2*(BO41-AH41)*(INDEX(pin!$D$114:$T$132,MATCH(ΥΠΟΛΟΓΙΣΜΟΙ!BO41,pin!$B$114:$B$132,0),MATCH(ΥΠΟΛΟΓΙΣΜΟΙ!AX41,pin!$D$113:$T$113,0))-INDEX(pin!$D$114:$T$132,MATCH(ΥΠΟΛΟΓΙΣΜΟΙ!BP41,pin!$B$114:$B$132,0),MATCH(ΥΠΟΛΟΓΙΣΜΟΙ!AX41,pin!$D$113:$T$113,0)))</f>
        <v>1</v>
      </c>
      <c r="BS41" s="209">
        <f>INDEX(pin!$X$114:$AN$132,MATCH(ΥΠΟΛΟΓΙΣΜΟΙ!BO41,pin!$V$114:$V$132,0),MATCH(ΥΠΟΛΟΓΙΣΜΟΙ!AW41,pin!$X$113:$AN$113,0))+0.2*(BO41-AH41)*(INDEX(pin!$X$114:$AN$132,MATCH(ΥΠΟΛΟΓΙΣΜΟΙ!BO41,pin!$V$114:$V$132,0),MATCH(ΥΠΟΛΟΓΙΣΜΟΙ!AW41,pin!$X$113:$AN$113,0))-INDEX(pin!$X$114:$AN$132,MATCH(ΥΠΟΛΟΓΙΣΜΟΙ!BP41,pin!$V$114:$V$132,0),MATCH(ΥΠΟΛΟΓΙΣΜΟΙ!AW41,pin!$X$113:$AN$113,0)))</f>
        <v>1</v>
      </c>
      <c r="BT41" s="225">
        <f>INDEX(pin!$X$114:$AN$132,MATCH(ΥΠΟΛΟΓΙΣΜΟΙ!BO41,pin!$V$114:$V$132,0),MATCH(ΥΠΟΛΟΓΙΣΜΟΙ!AX41,pin!$X$113:$AN$113,0))+0.2*(BO41-AH41)*(INDEX(pin!$X$114:$AN$132,MATCH(ΥΠΟΛΟΓΙΣΜΟΙ!BO41,pin!$V$114:$V$132,0),MATCH(ΥΠΟΛΟΓΙΣΜΟΙ!AX41,pin!$X$113:$AN$113,0))-INDEX(pin!$X$114:$AN$132,MATCH(ΥΠΟΛΟΓΙΣΜΟΙ!BP41,pin!$V$114:$V$132,0),MATCH(ΥΠΟΛΟΓΙΣΜΟΙ!AX41,pin!$X$113:$AN$113,0)))</f>
        <v>1</v>
      </c>
      <c r="BU41" s="209">
        <f t="shared" si="39"/>
        <v>0</v>
      </c>
      <c r="BV41" s="210">
        <f t="shared" si="40"/>
        <v>0</v>
      </c>
      <c r="BW41" s="210">
        <f>INDEX(pin!$D$90:$T$108,MATCH(ΥΠΟΛΟΓΙΣΜΟΙ!BU41,pin!$B$90:$B$108,0),MATCH(ΥΠΟΛΟΓΙΣΜΟΙ!AW41,pin!$D$89:$T$89,0))+0.2*(BU41-AI41)*(INDEX(pin!$D$90:$T$108,MATCH(ΥΠΟΛΟΓΙΣΜΟΙ!BU41,pin!$B$90:$B$108,0),MATCH(ΥΠΟΛΟΓΙΣΜΟΙ!AW41,pin!$D$89:$T$89,0))-INDEX(pin!$D$90:$T$108,MATCH(ΥΠΟΛΟΓΙΣΜΟΙ!BV41,pin!$B$90:$B$108,0),MATCH(ΥΠΟΛΟΓΙΣΜΟΙ!AW41,pin!$D$89:$T$89,0)))</f>
        <v>1</v>
      </c>
      <c r="BX41" s="225">
        <f>INDEX(pin!$D$90:$T$108,MATCH(ΥΠΟΛΟΓΙΣΜΟΙ!BU41,pin!$B$90:$B$108,0),MATCH(ΥΠΟΛΟΓΙΣΜΟΙ!AX41,pin!$D$89:$T$89,0))+0.2*(BU41-AI41)*(INDEX(pin!$D$90:$T$108,MATCH(ΥΠΟΛΟΓΙΣΜΟΙ!BU41,pin!$B$90:$B$108,0),MATCH(ΥΠΟΛΟΓΙΣΜΟΙ!AX41,pin!$D$89:$T$89,0))-INDEX(pin!$D$90:$T$108,MATCH(ΥΠΟΛΟΓΙΣΜΟΙ!BV41,pin!$B$90:$B$108,0),MATCH(ΥΠΟΛΟΓΙΣΜΟΙ!AX41,pin!$D$89:$T$89,0)))</f>
        <v>1</v>
      </c>
      <c r="BY41" s="210">
        <f>INDEX(pin!$X$90:$AN$108,MATCH(ΥΠΟΛΟΓΙΣΜΟΙ!BU41,pin!$V$90:$V$108,0),MATCH(ΥΠΟΛΟΓΙΣΜΟΙ!AW41,pin!$X$89:$AN$89,0))+0.2*(BU41-AI41)*(INDEX(pin!$X$90:$AN$108,MATCH(ΥΠΟΛΟΓΙΣΜΟΙ!BU41,pin!$V$90:$V$108,0),MATCH(ΥΠΟΛΟΓΙΣΜΟΙ!AW41,pin!$X$89:$AN$89,0))-INDEX(pin!$X$90:$AN$108,MATCH(ΥΠΟΛΟΓΙΣΜΟΙ!BV41,pin!$V$90:$V$108,0),MATCH(ΥΠΟΛΟΓΙΣΜΟΙ!AW41,pin!$X$89:$AN$89,0)))</f>
        <v>1</v>
      </c>
      <c r="BZ41" s="225">
        <f>INDEX(pin!$X$90:$AN$108,MATCH(ΥΠΟΛΟΓΙΣΜΟΙ!BU41,pin!$V$90:$V$108,0),MATCH(ΥΠΟΛΟΓΙΣΜΟΙ!AX41,pin!$X$89:$AN$89,0))+0.2*(BU41-AI41)*(INDEX(pin!$X$90:$AN$108,MATCH(ΥΠΟΛΟΓΙΣΜΟΙ!BU41,pin!$V$90:$V$108,0),MATCH(ΥΠΟΛΟΓΙΣΜΟΙ!AX41,pin!$X$89:$AN$89,0))-INDEX(pin!$X$90:$AN$108,MATCH(ΥΠΟΛΟΓΙΣΜΟΙ!BV41,pin!$V$90:$V$108,0),MATCH(ΥΠΟΛΟΓΙΣΜΟΙ!AX41,pin!$X$89:$AN$89,0)))</f>
        <v>1</v>
      </c>
      <c r="CA41" s="211"/>
    </row>
    <row r="42" spans="1:79" s="34" customFormat="1">
      <c r="A42" s="56">
        <v>5</v>
      </c>
      <c r="B42" s="128"/>
      <c r="C42" s="126"/>
      <c r="D42" s="126"/>
      <c r="E42" s="126"/>
      <c r="F42" s="47" t="str">
        <f t="shared" si="41"/>
        <v>-</v>
      </c>
      <c r="G42" s="90" t="str">
        <f t="shared" si="42"/>
        <v>-</v>
      </c>
      <c r="H42" s="129"/>
      <c r="I42" s="129"/>
      <c r="J42" s="309" t="s">
        <v>653</v>
      </c>
      <c r="K42" s="133"/>
      <c r="L42" s="455"/>
      <c r="M42" s="454"/>
      <c r="N42" s="266"/>
      <c r="O42" s="46">
        <f t="shared" si="43"/>
        <v>1</v>
      </c>
      <c r="P42" s="130">
        <f t="shared" si="44"/>
        <v>1</v>
      </c>
      <c r="Q42" s="46">
        <f t="shared" si="45"/>
        <v>1</v>
      </c>
      <c r="R42" s="130">
        <f t="shared" si="46"/>
        <v>1</v>
      </c>
      <c r="S42" s="46">
        <f t="shared" si="47"/>
        <v>1</v>
      </c>
      <c r="T42" s="130">
        <f t="shared" si="48"/>
        <v>1</v>
      </c>
      <c r="U42" s="131"/>
      <c r="V42" s="134" t="str">
        <f t="shared" si="49"/>
        <v>-</v>
      </c>
      <c r="W42" s="126"/>
      <c r="X42" s="134" t="str">
        <f t="shared" si="50"/>
        <v>-</v>
      </c>
      <c r="Y42" s="170"/>
      <c r="Z42" s="132"/>
      <c r="AA42" s="126"/>
      <c r="AB42" s="126"/>
      <c r="AC42" s="131"/>
      <c r="AD42" s="127"/>
      <c r="AE42" s="226">
        <f t="shared" si="51"/>
        <v>0</v>
      </c>
      <c r="AF42" s="202">
        <f t="shared" si="52"/>
        <v>0</v>
      </c>
      <c r="AG42" s="228">
        <f t="shared" si="53"/>
        <v>0</v>
      </c>
      <c r="AH42" s="202">
        <f t="shared" si="54"/>
        <v>0</v>
      </c>
      <c r="AI42" s="202">
        <f t="shared" si="55"/>
        <v>0</v>
      </c>
      <c r="AJ42" s="203">
        <f t="shared" si="61"/>
        <v>1</v>
      </c>
      <c r="AK42" s="203">
        <f t="shared" si="56"/>
        <v>1</v>
      </c>
      <c r="AL42" s="203">
        <f t="shared" si="57"/>
        <v>1</v>
      </c>
      <c r="AM42" s="203">
        <f t="shared" si="62"/>
        <v>1</v>
      </c>
      <c r="AN42" s="209">
        <f t="shared" si="58"/>
        <v>0</v>
      </c>
      <c r="AO42" s="210"/>
      <c r="AP42" s="210"/>
      <c r="AQ42" s="210"/>
      <c r="AR42" s="210"/>
      <c r="AS42" s="210"/>
      <c r="AT42" s="210"/>
      <c r="AU42" s="210"/>
      <c r="AV42" s="210" t="s">
        <v>268</v>
      </c>
      <c r="AW42" s="210">
        <f t="shared" si="59"/>
        <v>0</v>
      </c>
      <c r="AX42" s="225">
        <f t="shared" si="60"/>
        <v>0</v>
      </c>
      <c r="AY42" s="209">
        <f t="shared" si="31"/>
        <v>0</v>
      </c>
      <c r="AZ42" s="210">
        <f t="shared" si="32"/>
        <v>0</v>
      </c>
      <c r="BA42" s="210">
        <f>INDEX(pin!$D$6:$T$42,MATCH(ΥΠΟΛΟΓΙΣΜΟΙ!AY42,pin!$B$6:$B$42,0),MATCH(ΥΠΟΛΟΓΙΣΜΟΙ!AW42,pin!$D$5:$T$5,0))+0.4*(AY42-AE42)*(INDEX(pin!$D$6:$T$42,MATCH(ΥΠΟΛΟΓΙΣΜΟΙ!AY42,pin!$B$6:$B$42,0),MATCH(ΥΠΟΛΟΓΙΣΜΟΙ!AW42,pin!$D$5:$T$5,0))-INDEX(pin!$D$6:$T$42,MATCH(ΥΠΟΛΟΓΙΣΜΟΙ!AZ42,pin!$B$6:$B$42,0),MATCH(ΥΠΟΛΟΓΙΣΜΟΙ!AW42,pin!$D$5:$T$5,0)))</f>
        <v>1</v>
      </c>
      <c r="BB42" s="225">
        <f>INDEX(pin!$D$6:$T$42,MATCH(ΥΠΟΛΟΓΙΣΜΟΙ!AY42,pin!$B$6:$B$42,0),MATCH(ΥΠΟΛΟΓΙΣΜΟΙ!AX42,pin!$D$5:$T$5,0))+0.4*(AY42-AE42)*(INDEX(pin!$D$6:$T$42,MATCH(ΥΠΟΛΟΓΙΣΜΟΙ!AY42,pin!$B$6:$B$42,0),MATCH(ΥΠΟΛΟΓΙΣΜΟΙ!AX42,pin!$D$5:$T$5,0))-INDEX(pin!$D$6:$T$42,MATCH(ΥΠΟΛΟΓΙΣΜΟΙ!AZ42,pin!$B$6:$B$42,0),MATCH(ΥΠΟΛΟΓΙΣΜΟΙ!AX42,pin!$D$5:$T$5,0)))</f>
        <v>1</v>
      </c>
      <c r="BC42" s="210">
        <f>INDEX(pin!$X$6:$AN$42,MATCH(ΥΠΟΛΟΓΙΣΜΟΙ!AY42,pin!$V$6:$V$42,0),MATCH(ΥΠΟΛΟΓΙΣΜΟΙ!AW42,pin!$X$5:$AN$5,0))+0.4*(AY42-AE42)*(INDEX(pin!$X$6:$AN$42,MATCH(ΥΠΟΛΟΓΙΣΜΟΙ!AY42,pin!$V$6:$V$42,0),MATCH(ΥΠΟΛΟΓΙΣΜΟΙ!AW42,pin!$X$5:$AN$5,0))-INDEX(pin!$X$6:$AN$42,MATCH(ΥΠΟΛΟΓΙΣΜΟΙ!AZ42,pin!$V$6:$V$42,0),MATCH(ΥΠΟΛΟΓΙΣΜΟΙ!AW42,pin!$X$5:$AN$5,0)))</f>
        <v>1</v>
      </c>
      <c r="BD42" s="210">
        <f>INDEX(pin!$X$6:$AN$42,MATCH(ΥΠΟΛΟΓΙΣΜΟΙ!AY42,pin!$V$6:$V$42,0),MATCH(ΥΠΟΛΟΓΙΣΜΟΙ!AX42,pin!$X$5:$AN$5,0))+0.4*(AY42-AE42)*(INDEX(pin!$X$6:$AN$42,MATCH(ΥΠΟΛΟΓΙΣΜΟΙ!AY42,pin!$V$6:$V$42,0),MATCH(ΥΠΟΛΟΓΙΣΜΟΙ!AX42,pin!$X$5:$AN$5,0))-INDEX(pin!$X$6:$AN$42,MATCH(ΥΠΟΛΟΓΙΣΜΟΙ!AZ42,pin!$V$6:$V$42,0),MATCH(ΥΠΟΛΟΓΙΣΜΟΙ!AX42,pin!$X$5:$AN$5,0)))</f>
        <v>1</v>
      </c>
      <c r="BE42" s="209">
        <f t="shared" si="33"/>
        <v>0</v>
      </c>
      <c r="BF42" s="210">
        <f t="shared" si="34"/>
        <v>0</v>
      </c>
      <c r="BG42" s="210">
        <f>INDEX(pin!$D$48:$T$84,MATCH(ΥΠΟΛΟΓΙΣΜΟΙ!BE42,pin!$B$48:$B$84,0),MATCH(ΥΠΟΛΟΓΙΣΜΟΙ!AW42,pin!$D$47:$T$47,0))+0.4*(BE42-AF42)*(INDEX(pin!$D$48:$T$84,MATCH(ΥΠΟΛΟΓΙΣΜΟΙ!BE42,pin!$B$48:$B$84,0),MATCH(ΥΠΟΛΟΓΙΣΜΟΙ!AW42,pin!$D$47:$T$47,0))-INDEX(pin!$D$48:$T$84,MATCH(ΥΠΟΛΟΓΙΣΜΟΙ!BF42,pin!$B$48:$B$84,0),MATCH(ΥΠΟΛΟΓΙΣΜΟΙ!AW42,pin!$D$47:$T$47,0)))</f>
        <v>1</v>
      </c>
      <c r="BH42" s="210">
        <f>INDEX(pin!$D$48:$T$84,MATCH(ΥΠΟΛΟΓΙΣΜΟΙ!BE42,pin!$B$48:$B$84,0),MATCH(ΥΠΟΛΟΓΙΣΜΟΙ!AX42,pin!$D$47:$T$47,0))+0.4*(BE42-AF42)*(INDEX(pin!$D$48:$T$84,MATCH(ΥΠΟΛΟΓΙΣΜΟΙ!BE42,pin!$B$48:$B$84,0),MATCH(ΥΠΟΛΟΓΙΣΜΟΙ!AX42,pin!$D$47:$T$47,0))-INDEX(pin!$D$48:$T$84,MATCH(ΥΠΟΛΟΓΙΣΜΟΙ!BF42,pin!$B$48:$B$84,0),MATCH(ΥΠΟΛΟΓΙΣΜΟΙ!AX42,pin!$D$47:$T$47,0)))</f>
        <v>1</v>
      </c>
      <c r="BI42" s="209">
        <f>INDEX(pin!$X$48:$AN$84,MATCH(ΥΠΟΛΟΓΙΣΜΟΙ!BE42,pin!$V$48:$V$84,0),MATCH(ΥΠΟΛΟΓΙΣΜΟΙ!AW42,pin!$X$47:$AN$47,0))+0.4*(BE42-AF42)*(INDEX(pin!$X$48:$AN$84,MATCH(ΥΠΟΛΟΓΙΣΜΟΙ!BE42,pin!$V$48:$V$84,0),MATCH(ΥΠΟΛΟΓΙΣΜΟΙ!AW42,pin!$X$47:$AN$47,0))-INDEX(pin!$X$48:$AN$84,MATCH(ΥΠΟΛΟΓΙΣΜΟΙ!BF42,pin!$V$48:$V$84,0),MATCH(ΥΠΟΛΟΓΙΣΜΟΙ!AW42,pin!$X$47:$AN$47,0)))</f>
        <v>1</v>
      </c>
      <c r="BJ42" s="225">
        <f>INDEX(pin!$X$48:$AN$84,MATCH(ΥΠΟΛΟΓΙΣΜΟΙ!BE42,pin!$V$48:$V$84,0),MATCH(ΥΠΟΛΟΓΙΣΜΟΙ!AX42,pin!$X$47:$AN$47,0))+0.4*(BE42-AF42)*(INDEX(pin!$X$48:$AN$84,MATCH(ΥΠΟΛΟΓΙΣΜΟΙ!BE42,pin!$V$48:$V$84,0),MATCH(ΥΠΟΛΟΓΙΣΜΟΙ!AX42,pin!$X$47:$AN$47,0))-INDEX(pin!$X$48:$AN$84,MATCH(ΥΠΟΛΟΓΙΣΜΟΙ!BF42,pin!$V$48:$V$84,0),MATCH(ΥΠΟΛΟΓΙΣΜΟΙ!AX42,pin!$X$47:$AN$47,0)))</f>
        <v>1</v>
      </c>
      <c r="BK42" s="209">
        <f t="shared" si="35"/>
        <v>0</v>
      </c>
      <c r="BL42" s="210">
        <f t="shared" si="36"/>
        <v>0</v>
      </c>
      <c r="BM42" s="210">
        <f>INDEX(pin!$X$48:$AN$84,MATCH(ΥΠΟΛΟΓΙΣΜΟΙ!BK42,pin!$V$48:$V$84,0),MATCH(ΥΠΟΛΟΓΙΣΜΟΙ!AW42,pin!$X$47:$AN$47,0))+0.4*(BK42-AG42)*(INDEX(pin!$X$48:$AN$84,MATCH(ΥΠΟΛΟΓΙΣΜΟΙ!BK42,pin!$V$48:$V$84,0),MATCH(ΥΠΟΛΟΓΙΣΜΟΙ!AW42,pin!$X$47:$AN$47,0))-INDEX(pin!$X$48:$AN$84,MATCH(ΥΠΟΛΟΓΙΣΜΟΙ!BL42,pin!$V$48:$V$84,0),MATCH(ΥΠΟΛΟΓΙΣΜΟΙ!AW42,pin!$X$47:$AN$47,0)))</f>
        <v>1</v>
      </c>
      <c r="BN42" s="225">
        <f>INDEX(pin!$X$48:$AN$84,MATCH(ΥΠΟΛΟΓΙΣΜΟΙ!BK42,pin!$V$48:$V$84,0),MATCH(ΥΠΟΛΟΓΙΣΜΟΙ!AX42,pin!$X$47:$AN$47,0))+0.4*(BK42-AG42)*(INDEX(pin!$X$48:$AN$84,MATCH(ΥΠΟΛΟΓΙΣΜΟΙ!BK42,pin!$V$48:$V$84,0),MATCH(ΥΠΟΛΟΓΙΣΜΟΙ!AX42,pin!$X$47:$AN$47,0))-INDEX(pin!$X$48:$AN$84,MATCH(ΥΠΟΛΟΓΙΣΜΟΙ!BL42,pin!$V$48:$V$84,0),MATCH(ΥΠΟΛΟΓΙΣΜΟΙ!AX42,pin!$X$47:$AN$47,0)))</f>
        <v>1</v>
      </c>
      <c r="BO42" s="209">
        <f t="shared" si="37"/>
        <v>0</v>
      </c>
      <c r="BP42" s="210">
        <f t="shared" si="38"/>
        <v>0</v>
      </c>
      <c r="BQ42" s="210">
        <f>INDEX(pin!$D$114:$T$132,MATCH(ΥΠΟΛΟΓΙΣΜΟΙ!BO42,pin!$B$114:$B$132,0),MATCH(ΥΠΟΛΟΓΙΣΜΟΙ!AW42,pin!$D$113:$T$113,0))+0.2*(BO42-AH42)*(INDEX(pin!$D$114:$T$132,MATCH(ΥΠΟΛΟΓΙΣΜΟΙ!BO42,pin!$B$114:$B$132,0),MATCH(ΥΠΟΛΟΓΙΣΜΟΙ!AW42,pin!$D$113:$T$113,0))-INDEX(pin!$D$114:$T$132,MATCH(ΥΠΟΛΟΓΙΣΜΟΙ!BP42,pin!$B$114:$B$132,0),MATCH(ΥΠΟΛΟΓΙΣΜΟΙ!AW42,pin!$D$113:$T$113,0)))</f>
        <v>1</v>
      </c>
      <c r="BR42" s="210">
        <f>INDEX(pin!$D$114:$T$132,MATCH(ΥΠΟΛΟΓΙΣΜΟΙ!BO42,pin!$B$114:$B$132,0),MATCH(ΥΠΟΛΟΓΙΣΜΟΙ!AX42,pin!$D$113:$T$113,0))+0.2*(BO42-AH42)*(INDEX(pin!$D$114:$T$132,MATCH(ΥΠΟΛΟΓΙΣΜΟΙ!BO42,pin!$B$114:$B$132,0),MATCH(ΥΠΟΛΟΓΙΣΜΟΙ!AX42,pin!$D$113:$T$113,0))-INDEX(pin!$D$114:$T$132,MATCH(ΥΠΟΛΟΓΙΣΜΟΙ!BP42,pin!$B$114:$B$132,0),MATCH(ΥΠΟΛΟΓΙΣΜΟΙ!AX42,pin!$D$113:$T$113,0)))</f>
        <v>1</v>
      </c>
      <c r="BS42" s="209">
        <f>INDEX(pin!$X$114:$AN$132,MATCH(ΥΠΟΛΟΓΙΣΜΟΙ!BO42,pin!$V$114:$V$132,0),MATCH(ΥΠΟΛΟΓΙΣΜΟΙ!AW42,pin!$X$113:$AN$113,0))+0.2*(BO42-AH42)*(INDEX(pin!$X$114:$AN$132,MATCH(ΥΠΟΛΟΓΙΣΜΟΙ!BO42,pin!$V$114:$V$132,0),MATCH(ΥΠΟΛΟΓΙΣΜΟΙ!AW42,pin!$X$113:$AN$113,0))-INDEX(pin!$X$114:$AN$132,MATCH(ΥΠΟΛΟΓΙΣΜΟΙ!BP42,pin!$V$114:$V$132,0),MATCH(ΥΠΟΛΟΓΙΣΜΟΙ!AW42,pin!$X$113:$AN$113,0)))</f>
        <v>1</v>
      </c>
      <c r="BT42" s="225">
        <f>INDEX(pin!$X$114:$AN$132,MATCH(ΥΠΟΛΟΓΙΣΜΟΙ!BO42,pin!$V$114:$V$132,0),MATCH(ΥΠΟΛΟΓΙΣΜΟΙ!AX42,pin!$X$113:$AN$113,0))+0.2*(BO42-AH42)*(INDEX(pin!$X$114:$AN$132,MATCH(ΥΠΟΛΟΓΙΣΜΟΙ!BO42,pin!$V$114:$V$132,0),MATCH(ΥΠΟΛΟΓΙΣΜΟΙ!AX42,pin!$X$113:$AN$113,0))-INDEX(pin!$X$114:$AN$132,MATCH(ΥΠΟΛΟΓΙΣΜΟΙ!BP42,pin!$V$114:$V$132,0),MATCH(ΥΠΟΛΟΓΙΣΜΟΙ!AX42,pin!$X$113:$AN$113,0)))</f>
        <v>1</v>
      </c>
      <c r="BU42" s="209">
        <f t="shared" si="39"/>
        <v>0</v>
      </c>
      <c r="BV42" s="210">
        <f t="shared" si="40"/>
        <v>0</v>
      </c>
      <c r="BW42" s="210">
        <f>INDEX(pin!$D$90:$T$108,MATCH(ΥΠΟΛΟΓΙΣΜΟΙ!BU42,pin!$B$90:$B$108,0),MATCH(ΥΠΟΛΟΓΙΣΜΟΙ!AW42,pin!$D$89:$T$89,0))+0.2*(BU42-AI42)*(INDEX(pin!$D$90:$T$108,MATCH(ΥΠΟΛΟΓΙΣΜΟΙ!BU42,pin!$B$90:$B$108,0),MATCH(ΥΠΟΛΟΓΙΣΜΟΙ!AW42,pin!$D$89:$T$89,0))-INDEX(pin!$D$90:$T$108,MATCH(ΥΠΟΛΟΓΙΣΜΟΙ!BV42,pin!$B$90:$B$108,0),MATCH(ΥΠΟΛΟΓΙΣΜΟΙ!AW42,pin!$D$89:$T$89,0)))</f>
        <v>1</v>
      </c>
      <c r="BX42" s="225">
        <f>INDEX(pin!$D$90:$T$108,MATCH(ΥΠΟΛΟΓΙΣΜΟΙ!BU42,pin!$B$90:$B$108,0),MATCH(ΥΠΟΛΟΓΙΣΜΟΙ!AX42,pin!$D$89:$T$89,0))+0.2*(BU42-AI42)*(INDEX(pin!$D$90:$T$108,MATCH(ΥΠΟΛΟΓΙΣΜΟΙ!BU42,pin!$B$90:$B$108,0),MATCH(ΥΠΟΛΟΓΙΣΜΟΙ!AX42,pin!$D$89:$T$89,0))-INDEX(pin!$D$90:$T$108,MATCH(ΥΠΟΛΟΓΙΣΜΟΙ!BV42,pin!$B$90:$B$108,0),MATCH(ΥΠΟΛΟΓΙΣΜΟΙ!AX42,pin!$D$89:$T$89,0)))</f>
        <v>1</v>
      </c>
      <c r="BY42" s="210">
        <f>INDEX(pin!$X$90:$AN$108,MATCH(ΥΠΟΛΟΓΙΣΜΟΙ!BU42,pin!$V$90:$V$108,0),MATCH(ΥΠΟΛΟΓΙΣΜΟΙ!AW42,pin!$X$89:$AN$89,0))+0.2*(BU42-AI42)*(INDEX(pin!$X$90:$AN$108,MATCH(ΥΠΟΛΟΓΙΣΜΟΙ!BU42,pin!$V$90:$V$108,0),MATCH(ΥΠΟΛΟΓΙΣΜΟΙ!AW42,pin!$X$89:$AN$89,0))-INDEX(pin!$X$90:$AN$108,MATCH(ΥΠΟΛΟΓΙΣΜΟΙ!BV42,pin!$V$90:$V$108,0),MATCH(ΥΠΟΛΟΓΙΣΜΟΙ!AW42,pin!$X$89:$AN$89,0)))</f>
        <v>1</v>
      </c>
      <c r="BZ42" s="225">
        <f>INDEX(pin!$X$90:$AN$108,MATCH(ΥΠΟΛΟΓΙΣΜΟΙ!BU42,pin!$V$90:$V$108,0),MATCH(ΥΠΟΛΟΓΙΣΜΟΙ!AX42,pin!$X$89:$AN$89,0))+0.2*(BU42-AI42)*(INDEX(pin!$X$90:$AN$108,MATCH(ΥΠΟΛΟΓΙΣΜΟΙ!BU42,pin!$V$90:$V$108,0),MATCH(ΥΠΟΛΟΓΙΣΜΟΙ!AX42,pin!$X$89:$AN$89,0))-INDEX(pin!$X$90:$AN$108,MATCH(ΥΠΟΛΟΓΙΣΜΟΙ!BV42,pin!$V$90:$V$108,0),MATCH(ΥΠΟΛΟΓΙΣΜΟΙ!AX42,pin!$X$89:$AN$89,0)))</f>
        <v>1</v>
      </c>
      <c r="CA42" s="211"/>
    </row>
    <row r="43" spans="1:79" s="34" customFormat="1">
      <c r="A43" s="56">
        <v>6</v>
      </c>
      <c r="B43" s="128"/>
      <c r="C43" s="126"/>
      <c r="D43" s="126"/>
      <c r="E43" s="126"/>
      <c r="F43" s="47" t="str">
        <f t="shared" si="41"/>
        <v>-</v>
      </c>
      <c r="G43" s="90" t="str">
        <f t="shared" si="42"/>
        <v>-</v>
      </c>
      <c r="H43" s="129"/>
      <c r="I43" s="129"/>
      <c r="J43" s="309" t="s">
        <v>653</v>
      </c>
      <c r="K43" s="133"/>
      <c r="L43" s="455"/>
      <c r="M43" s="454"/>
      <c r="N43" s="266"/>
      <c r="O43" s="46">
        <f t="shared" si="43"/>
        <v>1</v>
      </c>
      <c r="P43" s="130">
        <f t="shared" si="44"/>
        <v>1</v>
      </c>
      <c r="Q43" s="46">
        <f t="shared" si="45"/>
        <v>1</v>
      </c>
      <c r="R43" s="130">
        <f t="shared" si="46"/>
        <v>1</v>
      </c>
      <c r="S43" s="46">
        <f t="shared" si="47"/>
        <v>1</v>
      </c>
      <c r="T43" s="130">
        <f t="shared" si="48"/>
        <v>1</v>
      </c>
      <c r="U43" s="131"/>
      <c r="V43" s="134" t="str">
        <f t="shared" si="49"/>
        <v>-</v>
      </c>
      <c r="W43" s="126"/>
      <c r="X43" s="134" t="str">
        <f t="shared" si="50"/>
        <v>-</v>
      </c>
      <c r="Y43" s="170"/>
      <c r="Z43" s="132"/>
      <c r="AA43" s="126"/>
      <c r="AB43" s="126"/>
      <c r="AC43" s="131"/>
      <c r="AD43" s="127"/>
      <c r="AE43" s="226">
        <f t="shared" si="51"/>
        <v>0</v>
      </c>
      <c r="AF43" s="202">
        <f t="shared" si="52"/>
        <v>0</v>
      </c>
      <c r="AG43" s="228">
        <f t="shared" si="53"/>
        <v>0</v>
      </c>
      <c r="AH43" s="202">
        <f t="shared" si="54"/>
        <v>0</v>
      </c>
      <c r="AI43" s="202">
        <f t="shared" si="55"/>
        <v>0</v>
      </c>
      <c r="AJ43" s="203">
        <f t="shared" si="61"/>
        <v>1</v>
      </c>
      <c r="AK43" s="203">
        <f t="shared" si="56"/>
        <v>1</v>
      </c>
      <c r="AL43" s="203">
        <f t="shared" si="57"/>
        <v>1</v>
      </c>
      <c r="AM43" s="203">
        <f t="shared" si="62"/>
        <v>1</v>
      </c>
      <c r="AN43" s="209">
        <f t="shared" si="58"/>
        <v>0</v>
      </c>
      <c r="AO43" s="210"/>
      <c r="AP43" s="210"/>
      <c r="AQ43" s="210"/>
      <c r="AR43" s="210"/>
      <c r="AS43" s="210"/>
      <c r="AT43" s="210"/>
      <c r="AU43" s="210"/>
      <c r="AV43" s="210" t="s">
        <v>268</v>
      </c>
      <c r="AW43" s="210">
        <f t="shared" si="59"/>
        <v>0</v>
      </c>
      <c r="AX43" s="225">
        <f t="shared" si="60"/>
        <v>0</v>
      </c>
      <c r="AY43" s="209">
        <f t="shared" si="31"/>
        <v>0</v>
      </c>
      <c r="AZ43" s="210">
        <f t="shared" si="32"/>
        <v>0</v>
      </c>
      <c r="BA43" s="210">
        <f>INDEX(pin!$D$6:$T$42,MATCH(ΥΠΟΛΟΓΙΣΜΟΙ!AY43,pin!$B$6:$B$42,0),MATCH(ΥΠΟΛΟΓΙΣΜΟΙ!AW43,pin!$D$5:$T$5,0))+0.4*(AY43-AE43)*(INDEX(pin!$D$6:$T$42,MATCH(ΥΠΟΛΟΓΙΣΜΟΙ!AY43,pin!$B$6:$B$42,0),MATCH(ΥΠΟΛΟΓΙΣΜΟΙ!AW43,pin!$D$5:$T$5,0))-INDEX(pin!$D$6:$T$42,MATCH(ΥΠΟΛΟΓΙΣΜΟΙ!AZ43,pin!$B$6:$B$42,0),MATCH(ΥΠΟΛΟΓΙΣΜΟΙ!AW43,pin!$D$5:$T$5,0)))</f>
        <v>1</v>
      </c>
      <c r="BB43" s="225">
        <f>INDEX(pin!$D$6:$T$42,MATCH(ΥΠΟΛΟΓΙΣΜΟΙ!AY43,pin!$B$6:$B$42,0),MATCH(ΥΠΟΛΟΓΙΣΜΟΙ!AX43,pin!$D$5:$T$5,0))+0.4*(AY43-AE43)*(INDEX(pin!$D$6:$T$42,MATCH(ΥΠΟΛΟΓΙΣΜΟΙ!AY43,pin!$B$6:$B$42,0),MATCH(ΥΠΟΛΟΓΙΣΜΟΙ!AX43,pin!$D$5:$T$5,0))-INDEX(pin!$D$6:$T$42,MATCH(ΥΠΟΛΟΓΙΣΜΟΙ!AZ43,pin!$B$6:$B$42,0),MATCH(ΥΠΟΛΟΓΙΣΜΟΙ!AX43,pin!$D$5:$T$5,0)))</f>
        <v>1</v>
      </c>
      <c r="BC43" s="210">
        <f>INDEX(pin!$X$6:$AN$42,MATCH(ΥΠΟΛΟΓΙΣΜΟΙ!AY43,pin!$V$6:$V$42,0),MATCH(ΥΠΟΛΟΓΙΣΜΟΙ!AW43,pin!$X$5:$AN$5,0))+0.4*(AY43-AE43)*(INDEX(pin!$X$6:$AN$42,MATCH(ΥΠΟΛΟΓΙΣΜΟΙ!AY43,pin!$V$6:$V$42,0),MATCH(ΥΠΟΛΟΓΙΣΜΟΙ!AW43,pin!$X$5:$AN$5,0))-INDEX(pin!$X$6:$AN$42,MATCH(ΥΠΟΛΟΓΙΣΜΟΙ!AZ43,pin!$V$6:$V$42,0),MATCH(ΥΠΟΛΟΓΙΣΜΟΙ!AW43,pin!$X$5:$AN$5,0)))</f>
        <v>1</v>
      </c>
      <c r="BD43" s="210">
        <f>INDEX(pin!$X$6:$AN$42,MATCH(ΥΠΟΛΟΓΙΣΜΟΙ!AY43,pin!$V$6:$V$42,0),MATCH(ΥΠΟΛΟΓΙΣΜΟΙ!AX43,pin!$X$5:$AN$5,0))+0.4*(AY43-AE43)*(INDEX(pin!$X$6:$AN$42,MATCH(ΥΠΟΛΟΓΙΣΜΟΙ!AY43,pin!$V$6:$V$42,0),MATCH(ΥΠΟΛΟΓΙΣΜΟΙ!AX43,pin!$X$5:$AN$5,0))-INDEX(pin!$X$6:$AN$42,MATCH(ΥΠΟΛΟΓΙΣΜΟΙ!AZ43,pin!$V$6:$V$42,0),MATCH(ΥΠΟΛΟΓΙΣΜΟΙ!AX43,pin!$X$5:$AN$5,0)))</f>
        <v>1</v>
      </c>
      <c r="BE43" s="209">
        <f t="shared" si="33"/>
        <v>0</v>
      </c>
      <c r="BF43" s="210">
        <f t="shared" si="34"/>
        <v>0</v>
      </c>
      <c r="BG43" s="210">
        <f>INDEX(pin!$D$48:$T$84,MATCH(ΥΠΟΛΟΓΙΣΜΟΙ!BE43,pin!$B$48:$B$84,0),MATCH(ΥΠΟΛΟΓΙΣΜΟΙ!AW43,pin!$D$47:$T$47,0))+0.4*(BE43-AF43)*(INDEX(pin!$D$48:$T$84,MATCH(ΥΠΟΛΟΓΙΣΜΟΙ!BE43,pin!$B$48:$B$84,0),MATCH(ΥΠΟΛΟΓΙΣΜΟΙ!AW43,pin!$D$47:$T$47,0))-INDEX(pin!$D$48:$T$84,MATCH(ΥΠΟΛΟΓΙΣΜΟΙ!BF43,pin!$B$48:$B$84,0),MATCH(ΥΠΟΛΟΓΙΣΜΟΙ!AW43,pin!$D$47:$T$47,0)))</f>
        <v>1</v>
      </c>
      <c r="BH43" s="210">
        <f>INDEX(pin!$D$48:$T$84,MATCH(ΥΠΟΛΟΓΙΣΜΟΙ!BE43,pin!$B$48:$B$84,0),MATCH(ΥΠΟΛΟΓΙΣΜΟΙ!AX43,pin!$D$47:$T$47,0))+0.4*(BE43-AF43)*(INDEX(pin!$D$48:$T$84,MATCH(ΥΠΟΛΟΓΙΣΜΟΙ!BE43,pin!$B$48:$B$84,0),MATCH(ΥΠΟΛΟΓΙΣΜΟΙ!AX43,pin!$D$47:$T$47,0))-INDEX(pin!$D$48:$T$84,MATCH(ΥΠΟΛΟΓΙΣΜΟΙ!BF43,pin!$B$48:$B$84,0),MATCH(ΥΠΟΛΟΓΙΣΜΟΙ!AX43,pin!$D$47:$T$47,0)))</f>
        <v>1</v>
      </c>
      <c r="BI43" s="209">
        <f>INDEX(pin!$X$48:$AN$84,MATCH(ΥΠΟΛΟΓΙΣΜΟΙ!BE43,pin!$V$48:$V$84,0),MATCH(ΥΠΟΛΟΓΙΣΜΟΙ!AW43,pin!$X$47:$AN$47,0))+0.4*(BE43-AF43)*(INDEX(pin!$X$48:$AN$84,MATCH(ΥΠΟΛΟΓΙΣΜΟΙ!BE43,pin!$V$48:$V$84,0),MATCH(ΥΠΟΛΟΓΙΣΜΟΙ!AW43,pin!$X$47:$AN$47,0))-INDEX(pin!$X$48:$AN$84,MATCH(ΥΠΟΛΟΓΙΣΜΟΙ!BF43,pin!$V$48:$V$84,0),MATCH(ΥΠΟΛΟΓΙΣΜΟΙ!AW43,pin!$X$47:$AN$47,0)))</f>
        <v>1</v>
      </c>
      <c r="BJ43" s="225">
        <f>INDEX(pin!$X$48:$AN$84,MATCH(ΥΠΟΛΟΓΙΣΜΟΙ!BE43,pin!$V$48:$V$84,0),MATCH(ΥΠΟΛΟΓΙΣΜΟΙ!AX43,pin!$X$47:$AN$47,0))+0.4*(BE43-AF43)*(INDEX(pin!$X$48:$AN$84,MATCH(ΥΠΟΛΟΓΙΣΜΟΙ!BE43,pin!$V$48:$V$84,0),MATCH(ΥΠΟΛΟΓΙΣΜΟΙ!AX43,pin!$X$47:$AN$47,0))-INDEX(pin!$X$48:$AN$84,MATCH(ΥΠΟΛΟΓΙΣΜΟΙ!BF43,pin!$V$48:$V$84,0),MATCH(ΥΠΟΛΟΓΙΣΜΟΙ!AX43,pin!$X$47:$AN$47,0)))</f>
        <v>1</v>
      </c>
      <c r="BK43" s="209">
        <f t="shared" si="35"/>
        <v>0</v>
      </c>
      <c r="BL43" s="210">
        <f t="shared" si="36"/>
        <v>0</v>
      </c>
      <c r="BM43" s="210">
        <f>INDEX(pin!$X$48:$AN$84,MATCH(ΥΠΟΛΟΓΙΣΜΟΙ!BK43,pin!$V$48:$V$84,0),MATCH(ΥΠΟΛΟΓΙΣΜΟΙ!AW43,pin!$X$47:$AN$47,0))+0.4*(BK43-AG43)*(INDEX(pin!$X$48:$AN$84,MATCH(ΥΠΟΛΟΓΙΣΜΟΙ!BK43,pin!$V$48:$V$84,0),MATCH(ΥΠΟΛΟΓΙΣΜΟΙ!AW43,pin!$X$47:$AN$47,0))-INDEX(pin!$X$48:$AN$84,MATCH(ΥΠΟΛΟΓΙΣΜΟΙ!BL43,pin!$V$48:$V$84,0),MATCH(ΥΠΟΛΟΓΙΣΜΟΙ!AW43,pin!$X$47:$AN$47,0)))</f>
        <v>1</v>
      </c>
      <c r="BN43" s="225">
        <f>INDEX(pin!$X$48:$AN$84,MATCH(ΥΠΟΛΟΓΙΣΜΟΙ!BK43,pin!$V$48:$V$84,0),MATCH(ΥΠΟΛΟΓΙΣΜΟΙ!AX43,pin!$X$47:$AN$47,0))+0.4*(BK43-AG43)*(INDEX(pin!$X$48:$AN$84,MATCH(ΥΠΟΛΟΓΙΣΜΟΙ!BK43,pin!$V$48:$V$84,0),MATCH(ΥΠΟΛΟΓΙΣΜΟΙ!AX43,pin!$X$47:$AN$47,0))-INDEX(pin!$X$48:$AN$84,MATCH(ΥΠΟΛΟΓΙΣΜΟΙ!BL43,pin!$V$48:$V$84,0),MATCH(ΥΠΟΛΟΓΙΣΜΟΙ!AX43,pin!$X$47:$AN$47,0)))</f>
        <v>1</v>
      </c>
      <c r="BO43" s="209">
        <f t="shared" si="37"/>
        <v>0</v>
      </c>
      <c r="BP43" s="210">
        <f t="shared" si="38"/>
        <v>0</v>
      </c>
      <c r="BQ43" s="210">
        <f>INDEX(pin!$D$114:$T$132,MATCH(ΥΠΟΛΟΓΙΣΜΟΙ!BO43,pin!$B$114:$B$132,0),MATCH(ΥΠΟΛΟΓΙΣΜΟΙ!AW43,pin!$D$113:$T$113,0))+0.2*(BO43-AH43)*(INDEX(pin!$D$114:$T$132,MATCH(ΥΠΟΛΟΓΙΣΜΟΙ!BO43,pin!$B$114:$B$132,0),MATCH(ΥΠΟΛΟΓΙΣΜΟΙ!AW43,pin!$D$113:$T$113,0))-INDEX(pin!$D$114:$T$132,MATCH(ΥΠΟΛΟΓΙΣΜΟΙ!BP43,pin!$B$114:$B$132,0),MATCH(ΥΠΟΛΟΓΙΣΜΟΙ!AW43,pin!$D$113:$T$113,0)))</f>
        <v>1</v>
      </c>
      <c r="BR43" s="210">
        <f>INDEX(pin!$D$114:$T$132,MATCH(ΥΠΟΛΟΓΙΣΜΟΙ!BO43,pin!$B$114:$B$132,0),MATCH(ΥΠΟΛΟΓΙΣΜΟΙ!AX43,pin!$D$113:$T$113,0))+0.2*(BO43-AH43)*(INDEX(pin!$D$114:$T$132,MATCH(ΥΠΟΛΟΓΙΣΜΟΙ!BO43,pin!$B$114:$B$132,0),MATCH(ΥΠΟΛΟΓΙΣΜΟΙ!AX43,pin!$D$113:$T$113,0))-INDEX(pin!$D$114:$T$132,MATCH(ΥΠΟΛΟΓΙΣΜΟΙ!BP43,pin!$B$114:$B$132,0),MATCH(ΥΠΟΛΟΓΙΣΜΟΙ!AX43,pin!$D$113:$T$113,0)))</f>
        <v>1</v>
      </c>
      <c r="BS43" s="209">
        <f>INDEX(pin!$X$114:$AN$132,MATCH(ΥΠΟΛΟΓΙΣΜΟΙ!BO43,pin!$V$114:$V$132,0),MATCH(ΥΠΟΛΟΓΙΣΜΟΙ!AW43,pin!$X$113:$AN$113,0))+0.2*(BO43-AH43)*(INDEX(pin!$X$114:$AN$132,MATCH(ΥΠΟΛΟΓΙΣΜΟΙ!BO43,pin!$V$114:$V$132,0),MATCH(ΥΠΟΛΟΓΙΣΜΟΙ!AW43,pin!$X$113:$AN$113,0))-INDEX(pin!$X$114:$AN$132,MATCH(ΥΠΟΛΟΓΙΣΜΟΙ!BP43,pin!$V$114:$V$132,0),MATCH(ΥΠΟΛΟΓΙΣΜΟΙ!AW43,pin!$X$113:$AN$113,0)))</f>
        <v>1</v>
      </c>
      <c r="BT43" s="225">
        <f>INDEX(pin!$X$114:$AN$132,MATCH(ΥΠΟΛΟΓΙΣΜΟΙ!BO43,pin!$V$114:$V$132,0),MATCH(ΥΠΟΛΟΓΙΣΜΟΙ!AX43,pin!$X$113:$AN$113,0))+0.2*(BO43-AH43)*(INDEX(pin!$X$114:$AN$132,MATCH(ΥΠΟΛΟΓΙΣΜΟΙ!BO43,pin!$V$114:$V$132,0),MATCH(ΥΠΟΛΟΓΙΣΜΟΙ!AX43,pin!$X$113:$AN$113,0))-INDEX(pin!$X$114:$AN$132,MATCH(ΥΠΟΛΟΓΙΣΜΟΙ!BP43,pin!$V$114:$V$132,0),MATCH(ΥΠΟΛΟΓΙΣΜΟΙ!AX43,pin!$X$113:$AN$113,0)))</f>
        <v>1</v>
      </c>
      <c r="BU43" s="209">
        <f t="shared" si="39"/>
        <v>0</v>
      </c>
      <c r="BV43" s="210">
        <f t="shared" si="40"/>
        <v>0</v>
      </c>
      <c r="BW43" s="210">
        <f>INDEX(pin!$D$90:$T$108,MATCH(ΥΠΟΛΟΓΙΣΜΟΙ!BU43,pin!$B$90:$B$108,0),MATCH(ΥΠΟΛΟΓΙΣΜΟΙ!AW43,pin!$D$89:$T$89,0))+0.2*(BU43-AI43)*(INDEX(pin!$D$90:$T$108,MATCH(ΥΠΟΛΟΓΙΣΜΟΙ!BU43,pin!$B$90:$B$108,0),MATCH(ΥΠΟΛΟΓΙΣΜΟΙ!AW43,pin!$D$89:$T$89,0))-INDEX(pin!$D$90:$T$108,MATCH(ΥΠΟΛΟΓΙΣΜΟΙ!BV43,pin!$B$90:$B$108,0),MATCH(ΥΠΟΛΟΓΙΣΜΟΙ!AW43,pin!$D$89:$T$89,0)))</f>
        <v>1</v>
      </c>
      <c r="BX43" s="225">
        <f>INDEX(pin!$D$90:$T$108,MATCH(ΥΠΟΛΟΓΙΣΜΟΙ!BU43,pin!$B$90:$B$108,0),MATCH(ΥΠΟΛΟΓΙΣΜΟΙ!AX43,pin!$D$89:$T$89,0))+0.2*(BU43-AI43)*(INDEX(pin!$D$90:$T$108,MATCH(ΥΠΟΛΟΓΙΣΜΟΙ!BU43,pin!$B$90:$B$108,0),MATCH(ΥΠΟΛΟΓΙΣΜΟΙ!AX43,pin!$D$89:$T$89,0))-INDEX(pin!$D$90:$T$108,MATCH(ΥΠΟΛΟΓΙΣΜΟΙ!BV43,pin!$B$90:$B$108,0),MATCH(ΥΠΟΛΟΓΙΣΜΟΙ!AX43,pin!$D$89:$T$89,0)))</f>
        <v>1</v>
      </c>
      <c r="BY43" s="210">
        <f>INDEX(pin!$X$90:$AN$108,MATCH(ΥΠΟΛΟΓΙΣΜΟΙ!BU43,pin!$V$90:$V$108,0),MATCH(ΥΠΟΛΟΓΙΣΜΟΙ!AW43,pin!$X$89:$AN$89,0))+0.2*(BU43-AI43)*(INDEX(pin!$X$90:$AN$108,MATCH(ΥΠΟΛΟΓΙΣΜΟΙ!BU43,pin!$V$90:$V$108,0),MATCH(ΥΠΟΛΟΓΙΣΜΟΙ!AW43,pin!$X$89:$AN$89,0))-INDEX(pin!$X$90:$AN$108,MATCH(ΥΠΟΛΟΓΙΣΜΟΙ!BV43,pin!$V$90:$V$108,0),MATCH(ΥΠΟΛΟΓΙΣΜΟΙ!AW43,pin!$X$89:$AN$89,0)))</f>
        <v>1</v>
      </c>
      <c r="BZ43" s="225">
        <f>INDEX(pin!$X$90:$AN$108,MATCH(ΥΠΟΛΟΓΙΣΜΟΙ!BU43,pin!$V$90:$V$108,0),MATCH(ΥΠΟΛΟΓΙΣΜΟΙ!AX43,pin!$X$89:$AN$89,0))+0.2*(BU43-AI43)*(INDEX(pin!$X$90:$AN$108,MATCH(ΥΠΟΛΟΓΙΣΜΟΙ!BU43,pin!$V$90:$V$108,0),MATCH(ΥΠΟΛΟΓΙΣΜΟΙ!AX43,pin!$X$89:$AN$89,0))-INDEX(pin!$X$90:$AN$108,MATCH(ΥΠΟΛΟΓΙΣΜΟΙ!BV43,pin!$V$90:$V$108,0),MATCH(ΥΠΟΛΟΓΙΣΜΟΙ!AX43,pin!$X$89:$AN$89,0)))</f>
        <v>1</v>
      </c>
      <c r="CA43" s="211"/>
    </row>
    <row r="44" spans="1:79" s="34" customFormat="1">
      <c r="A44" s="56">
        <v>7</v>
      </c>
      <c r="B44" s="128"/>
      <c r="C44" s="126"/>
      <c r="D44" s="126"/>
      <c r="E44" s="126"/>
      <c r="F44" s="47" t="str">
        <f t="shared" si="41"/>
        <v>-</v>
      </c>
      <c r="G44" s="90" t="str">
        <f t="shared" si="42"/>
        <v>-</v>
      </c>
      <c r="H44" s="129"/>
      <c r="I44" s="129"/>
      <c r="J44" s="309" t="s">
        <v>653</v>
      </c>
      <c r="K44" s="133"/>
      <c r="L44" s="455"/>
      <c r="M44" s="454"/>
      <c r="N44" s="266"/>
      <c r="O44" s="46">
        <f t="shared" si="43"/>
        <v>1</v>
      </c>
      <c r="P44" s="130">
        <f t="shared" si="44"/>
        <v>1</v>
      </c>
      <c r="Q44" s="46">
        <f t="shared" si="45"/>
        <v>1</v>
      </c>
      <c r="R44" s="130">
        <f t="shared" si="46"/>
        <v>1</v>
      </c>
      <c r="S44" s="46">
        <f t="shared" si="47"/>
        <v>1</v>
      </c>
      <c r="T44" s="130">
        <f t="shared" si="48"/>
        <v>1</v>
      </c>
      <c r="U44" s="131"/>
      <c r="V44" s="134" t="str">
        <f t="shared" si="49"/>
        <v>-</v>
      </c>
      <c r="W44" s="126"/>
      <c r="X44" s="134" t="str">
        <f t="shared" si="50"/>
        <v>-</v>
      </c>
      <c r="Y44" s="170"/>
      <c r="Z44" s="132"/>
      <c r="AA44" s="126"/>
      <c r="AB44" s="126"/>
      <c r="AC44" s="131"/>
      <c r="AD44" s="127"/>
      <c r="AE44" s="226">
        <f t="shared" si="51"/>
        <v>0</v>
      </c>
      <c r="AF44" s="202">
        <f t="shared" si="52"/>
        <v>0</v>
      </c>
      <c r="AG44" s="228">
        <f t="shared" si="53"/>
        <v>0</v>
      </c>
      <c r="AH44" s="202">
        <f t="shared" si="54"/>
        <v>0</v>
      </c>
      <c r="AI44" s="202">
        <f t="shared" si="55"/>
        <v>0</v>
      </c>
      <c r="AJ44" s="203">
        <f t="shared" si="61"/>
        <v>1</v>
      </c>
      <c r="AK44" s="203">
        <f t="shared" si="56"/>
        <v>1</v>
      </c>
      <c r="AL44" s="203">
        <f t="shared" si="57"/>
        <v>1</v>
      </c>
      <c r="AM44" s="203">
        <f t="shared" si="62"/>
        <v>1</v>
      </c>
      <c r="AN44" s="209">
        <f t="shared" si="58"/>
        <v>0</v>
      </c>
      <c r="AO44" s="210"/>
      <c r="AP44" s="210"/>
      <c r="AQ44" s="210"/>
      <c r="AR44" s="210"/>
      <c r="AS44" s="210"/>
      <c r="AT44" s="210"/>
      <c r="AU44" s="210"/>
      <c r="AV44" s="210" t="s">
        <v>268</v>
      </c>
      <c r="AW44" s="210">
        <f t="shared" si="59"/>
        <v>0</v>
      </c>
      <c r="AX44" s="225">
        <f t="shared" si="60"/>
        <v>0</v>
      </c>
      <c r="AY44" s="209">
        <f t="shared" si="31"/>
        <v>0</v>
      </c>
      <c r="AZ44" s="210">
        <f t="shared" si="32"/>
        <v>0</v>
      </c>
      <c r="BA44" s="210">
        <f>INDEX(pin!$D$6:$T$42,MATCH(ΥΠΟΛΟΓΙΣΜΟΙ!AY44,pin!$B$6:$B$42,0),MATCH(ΥΠΟΛΟΓΙΣΜΟΙ!AW44,pin!$D$5:$T$5,0))+0.4*(AY44-AE44)*(INDEX(pin!$D$6:$T$42,MATCH(ΥΠΟΛΟΓΙΣΜΟΙ!AY44,pin!$B$6:$B$42,0),MATCH(ΥΠΟΛΟΓΙΣΜΟΙ!AW44,pin!$D$5:$T$5,0))-INDEX(pin!$D$6:$T$42,MATCH(ΥΠΟΛΟΓΙΣΜΟΙ!AZ44,pin!$B$6:$B$42,0),MATCH(ΥΠΟΛΟΓΙΣΜΟΙ!AW44,pin!$D$5:$T$5,0)))</f>
        <v>1</v>
      </c>
      <c r="BB44" s="225">
        <f>INDEX(pin!$D$6:$T$42,MATCH(ΥΠΟΛΟΓΙΣΜΟΙ!AY44,pin!$B$6:$B$42,0),MATCH(ΥΠΟΛΟΓΙΣΜΟΙ!AX44,pin!$D$5:$T$5,0))+0.4*(AY44-AE44)*(INDEX(pin!$D$6:$T$42,MATCH(ΥΠΟΛΟΓΙΣΜΟΙ!AY44,pin!$B$6:$B$42,0),MATCH(ΥΠΟΛΟΓΙΣΜΟΙ!AX44,pin!$D$5:$T$5,0))-INDEX(pin!$D$6:$T$42,MATCH(ΥΠΟΛΟΓΙΣΜΟΙ!AZ44,pin!$B$6:$B$42,0),MATCH(ΥΠΟΛΟΓΙΣΜΟΙ!AX44,pin!$D$5:$T$5,0)))</f>
        <v>1</v>
      </c>
      <c r="BC44" s="210">
        <f>INDEX(pin!$X$6:$AN$42,MATCH(ΥΠΟΛΟΓΙΣΜΟΙ!AY44,pin!$V$6:$V$42,0),MATCH(ΥΠΟΛΟΓΙΣΜΟΙ!AW44,pin!$X$5:$AN$5,0))+0.4*(AY44-AE44)*(INDEX(pin!$X$6:$AN$42,MATCH(ΥΠΟΛΟΓΙΣΜΟΙ!AY44,pin!$V$6:$V$42,0),MATCH(ΥΠΟΛΟΓΙΣΜΟΙ!AW44,pin!$X$5:$AN$5,0))-INDEX(pin!$X$6:$AN$42,MATCH(ΥΠΟΛΟΓΙΣΜΟΙ!AZ44,pin!$V$6:$V$42,0),MATCH(ΥΠΟΛΟΓΙΣΜΟΙ!AW44,pin!$X$5:$AN$5,0)))</f>
        <v>1</v>
      </c>
      <c r="BD44" s="210">
        <f>INDEX(pin!$X$6:$AN$42,MATCH(ΥΠΟΛΟΓΙΣΜΟΙ!AY44,pin!$V$6:$V$42,0),MATCH(ΥΠΟΛΟΓΙΣΜΟΙ!AX44,pin!$X$5:$AN$5,0))+0.4*(AY44-AE44)*(INDEX(pin!$X$6:$AN$42,MATCH(ΥΠΟΛΟΓΙΣΜΟΙ!AY44,pin!$V$6:$V$42,0),MATCH(ΥΠΟΛΟΓΙΣΜΟΙ!AX44,pin!$X$5:$AN$5,0))-INDEX(pin!$X$6:$AN$42,MATCH(ΥΠΟΛΟΓΙΣΜΟΙ!AZ44,pin!$V$6:$V$42,0),MATCH(ΥΠΟΛΟΓΙΣΜΟΙ!AX44,pin!$X$5:$AN$5,0)))</f>
        <v>1</v>
      </c>
      <c r="BE44" s="209">
        <f t="shared" si="33"/>
        <v>0</v>
      </c>
      <c r="BF44" s="210">
        <f t="shared" si="34"/>
        <v>0</v>
      </c>
      <c r="BG44" s="210">
        <f>INDEX(pin!$D$48:$T$84,MATCH(ΥΠΟΛΟΓΙΣΜΟΙ!BE44,pin!$B$48:$B$84,0),MATCH(ΥΠΟΛΟΓΙΣΜΟΙ!AW44,pin!$D$47:$T$47,0))+0.4*(BE44-AF44)*(INDEX(pin!$D$48:$T$84,MATCH(ΥΠΟΛΟΓΙΣΜΟΙ!BE44,pin!$B$48:$B$84,0),MATCH(ΥΠΟΛΟΓΙΣΜΟΙ!AW44,pin!$D$47:$T$47,0))-INDEX(pin!$D$48:$T$84,MATCH(ΥΠΟΛΟΓΙΣΜΟΙ!BF44,pin!$B$48:$B$84,0),MATCH(ΥΠΟΛΟΓΙΣΜΟΙ!AW44,pin!$D$47:$T$47,0)))</f>
        <v>1</v>
      </c>
      <c r="BH44" s="210">
        <f>INDEX(pin!$D$48:$T$84,MATCH(ΥΠΟΛΟΓΙΣΜΟΙ!BE44,pin!$B$48:$B$84,0),MATCH(ΥΠΟΛΟΓΙΣΜΟΙ!AX44,pin!$D$47:$T$47,0))+0.4*(BE44-AF44)*(INDEX(pin!$D$48:$T$84,MATCH(ΥΠΟΛΟΓΙΣΜΟΙ!BE44,pin!$B$48:$B$84,0),MATCH(ΥΠΟΛΟΓΙΣΜΟΙ!AX44,pin!$D$47:$T$47,0))-INDEX(pin!$D$48:$T$84,MATCH(ΥΠΟΛΟΓΙΣΜΟΙ!BF44,pin!$B$48:$B$84,0),MATCH(ΥΠΟΛΟΓΙΣΜΟΙ!AX44,pin!$D$47:$T$47,0)))</f>
        <v>1</v>
      </c>
      <c r="BI44" s="209">
        <f>INDEX(pin!$X$48:$AN$84,MATCH(ΥΠΟΛΟΓΙΣΜΟΙ!BE44,pin!$V$48:$V$84,0),MATCH(ΥΠΟΛΟΓΙΣΜΟΙ!AW44,pin!$X$47:$AN$47,0))+0.4*(BE44-AF44)*(INDEX(pin!$X$48:$AN$84,MATCH(ΥΠΟΛΟΓΙΣΜΟΙ!BE44,pin!$V$48:$V$84,0),MATCH(ΥΠΟΛΟΓΙΣΜΟΙ!AW44,pin!$X$47:$AN$47,0))-INDEX(pin!$X$48:$AN$84,MATCH(ΥΠΟΛΟΓΙΣΜΟΙ!BF44,pin!$V$48:$V$84,0),MATCH(ΥΠΟΛΟΓΙΣΜΟΙ!AW44,pin!$X$47:$AN$47,0)))</f>
        <v>1</v>
      </c>
      <c r="BJ44" s="225">
        <f>INDEX(pin!$X$48:$AN$84,MATCH(ΥΠΟΛΟΓΙΣΜΟΙ!BE44,pin!$V$48:$V$84,0),MATCH(ΥΠΟΛΟΓΙΣΜΟΙ!AX44,pin!$X$47:$AN$47,0))+0.4*(BE44-AF44)*(INDEX(pin!$X$48:$AN$84,MATCH(ΥΠΟΛΟΓΙΣΜΟΙ!BE44,pin!$V$48:$V$84,0),MATCH(ΥΠΟΛΟΓΙΣΜΟΙ!AX44,pin!$X$47:$AN$47,0))-INDEX(pin!$X$48:$AN$84,MATCH(ΥΠΟΛΟΓΙΣΜΟΙ!BF44,pin!$V$48:$V$84,0),MATCH(ΥΠΟΛΟΓΙΣΜΟΙ!AX44,pin!$X$47:$AN$47,0)))</f>
        <v>1</v>
      </c>
      <c r="BK44" s="209">
        <f t="shared" si="35"/>
        <v>0</v>
      </c>
      <c r="BL44" s="210">
        <f t="shared" si="36"/>
        <v>0</v>
      </c>
      <c r="BM44" s="210">
        <f>INDEX(pin!$X$48:$AN$84,MATCH(ΥΠΟΛΟΓΙΣΜΟΙ!BK44,pin!$V$48:$V$84,0),MATCH(ΥΠΟΛΟΓΙΣΜΟΙ!AW44,pin!$X$47:$AN$47,0))+0.4*(BK44-AG44)*(INDEX(pin!$X$48:$AN$84,MATCH(ΥΠΟΛΟΓΙΣΜΟΙ!BK44,pin!$V$48:$V$84,0),MATCH(ΥΠΟΛΟΓΙΣΜΟΙ!AW44,pin!$X$47:$AN$47,0))-INDEX(pin!$X$48:$AN$84,MATCH(ΥΠΟΛΟΓΙΣΜΟΙ!BL44,pin!$V$48:$V$84,0),MATCH(ΥΠΟΛΟΓΙΣΜΟΙ!AW44,pin!$X$47:$AN$47,0)))</f>
        <v>1</v>
      </c>
      <c r="BN44" s="225">
        <f>INDEX(pin!$X$48:$AN$84,MATCH(ΥΠΟΛΟΓΙΣΜΟΙ!BK44,pin!$V$48:$V$84,0),MATCH(ΥΠΟΛΟΓΙΣΜΟΙ!AX44,pin!$X$47:$AN$47,0))+0.4*(BK44-AG44)*(INDEX(pin!$X$48:$AN$84,MATCH(ΥΠΟΛΟΓΙΣΜΟΙ!BK44,pin!$V$48:$V$84,0),MATCH(ΥΠΟΛΟΓΙΣΜΟΙ!AX44,pin!$X$47:$AN$47,0))-INDEX(pin!$X$48:$AN$84,MATCH(ΥΠΟΛΟΓΙΣΜΟΙ!BL44,pin!$V$48:$V$84,0),MATCH(ΥΠΟΛΟΓΙΣΜΟΙ!AX44,pin!$X$47:$AN$47,0)))</f>
        <v>1</v>
      </c>
      <c r="BO44" s="209">
        <f t="shared" si="37"/>
        <v>0</v>
      </c>
      <c r="BP44" s="210">
        <f t="shared" si="38"/>
        <v>0</v>
      </c>
      <c r="BQ44" s="210">
        <f>INDEX(pin!$D$114:$T$132,MATCH(ΥΠΟΛΟΓΙΣΜΟΙ!BO44,pin!$B$114:$B$132,0),MATCH(ΥΠΟΛΟΓΙΣΜΟΙ!AW44,pin!$D$113:$T$113,0))+0.2*(BO44-AH44)*(INDEX(pin!$D$114:$T$132,MATCH(ΥΠΟΛΟΓΙΣΜΟΙ!BO44,pin!$B$114:$B$132,0),MATCH(ΥΠΟΛΟΓΙΣΜΟΙ!AW44,pin!$D$113:$T$113,0))-INDEX(pin!$D$114:$T$132,MATCH(ΥΠΟΛΟΓΙΣΜΟΙ!BP44,pin!$B$114:$B$132,0),MATCH(ΥΠΟΛΟΓΙΣΜΟΙ!AW44,pin!$D$113:$T$113,0)))</f>
        <v>1</v>
      </c>
      <c r="BR44" s="210">
        <f>INDEX(pin!$D$114:$T$132,MATCH(ΥΠΟΛΟΓΙΣΜΟΙ!BO44,pin!$B$114:$B$132,0),MATCH(ΥΠΟΛΟΓΙΣΜΟΙ!AX44,pin!$D$113:$T$113,0))+0.2*(BO44-AH44)*(INDEX(pin!$D$114:$T$132,MATCH(ΥΠΟΛΟΓΙΣΜΟΙ!BO44,pin!$B$114:$B$132,0),MATCH(ΥΠΟΛΟΓΙΣΜΟΙ!AX44,pin!$D$113:$T$113,0))-INDEX(pin!$D$114:$T$132,MATCH(ΥΠΟΛΟΓΙΣΜΟΙ!BP44,pin!$B$114:$B$132,0),MATCH(ΥΠΟΛΟΓΙΣΜΟΙ!AX44,pin!$D$113:$T$113,0)))</f>
        <v>1</v>
      </c>
      <c r="BS44" s="209">
        <f>INDEX(pin!$X$114:$AN$132,MATCH(ΥΠΟΛΟΓΙΣΜΟΙ!BO44,pin!$V$114:$V$132,0),MATCH(ΥΠΟΛΟΓΙΣΜΟΙ!AW44,pin!$X$113:$AN$113,0))+0.2*(BO44-AH44)*(INDEX(pin!$X$114:$AN$132,MATCH(ΥΠΟΛΟΓΙΣΜΟΙ!BO44,pin!$V$114:$V$132,0),MATCH(ΥΠΟΛΟΓΙΣΜΟΙ!AW44,pin!$X$113:$AN$113,0))-INDEX(pin!$X$114:$AN$132,MATCH(ΥΠΟΛΟΓΙΣΜΟΙ!BP44,pin!$V$114:$V$132,0),MATCH(ΥΠΟΛΟΓΙΣΜΟΙ!AW44,pin!$X$113:$AN$113,0)))</f>
        <v>1</v>
      </c>
      <c r="BT44" s="225">
        <f>INDEX(pin!$X$114:$AN$132,MATCH(ΥΠΟΛΟΓΙΣΜΟΙ!BO44,pin!$V$114:$V$132,0),MATCH(ΥΠΟΛΟΓΙΣΜΟΙ!AX44,pin!$X$113:$AN$113,0))+0.2*(BO44-AH44)*(INDEX(pin!$X$114:$AN$132,MATCH(ΥΠΟΛΟΓΙΣΜΟΙ!BO44,pin!$V$114:$V$132,0),MATCH(ΥΠΟΛΟΓΙΣΜΟΙ!AX44,pin!$X$113:$AN$113,0))-INDEX(pin!$X$114:$AN$132,MATCH(ΥΠΟΛΟΓΙΣΜΟΙ!BP44,pin!$V$114:$V$132,0),MATCH(ΥΠΟΛΟΓΙΣΜΟΙ!AX44,pin!$X$113:$AN$113,0)))</f>
        <v>1</v>
      </c>
      <c r="BU44" s="209">
        <f t="shared" si="39"/>
        <v>0</v>
      </c>
      <c r="BV44" s="210">
        <f t="shared" si="40"/>
        <v>0</v>
      </c>
      <c r="BW44" s="210">
        <f>INDEX(pin!$D$90:$T$108,MATCH(ΥΠΟΛΟΓΙΣΜΟΙ!BU44,pin!$B$90:$B$108,0),MATCH(ΥΠΟΛΟΓΙΣΜΟΙ!AW44,pin!$D$89:$T$89,0))+0.2*(BU44-AI44)*(INDEX(pin!$D$90:$T$108,MATCH(ΥΠΟΛΟΓΙΣΜΟΙ!BU44,pin!$B$90:$B$108,0),MATCH(ΥΠΟΛΟΓΙΣΜΟΙ!AW44,pin!$D$89:$T$89,0))-INDEX(pin!$D$90:$T$108,MATCH(ΥΠΟΛΟΓΙΣΜΟΙ!BV44,pin!$B$90:$B$108,0),MATCH(ΥΠΟΛΟΓΙΣΜΟΙ!AW44,pin!$D$89:$T$89,0)))</f>
        <v>1</v>
      </c>
      <c r="BX44" s="225">
        <f>INDEX(pin!$D$90:$T$108,MATCH(ΥΠΟΛΟΓΙΣΜΟΙ!BU44,pin!$B$90:$B$108,0),MATCH(ΥΠΟΛΟΓΙΣΜΟΙ!AX44,pin!$D$89:$T$89,0))+0.2*(BU44-AI44)*(INDEX(pin!$D$90:$T$108,MATCH(ΥΠΟΛΟΓΙΣΜΟΙ!BU44,pin!$B$90:$B$108,0),MATCH(ΥΠΟΛΟΓΙΣΜΟΙ!AX44,pin!$D$89:$T$89,0))-INDEX(pin!$D$90:$T$108,MATCH(ΥΠΟΛΟΓΙΣΜΟΙ!BV44,pin!$B$90:$B$108,0),MATCH(ΥΠΟΛΟΓΙΣΜΟΙ!AX44,pin!$D$89:$T$89,0)))</f>
        <v>1</v>
      </c>
      <c r="BY44" s="210">
        <f>INDEX(pin!$X$90:$AN$108,MATCH(ΥΠΟΛΟΓΙΣΜΟΙ!BU44,pin!$V$90:$V$108,0),MATCH(ΥΠΟΛΟΓΙΣΜΟΙ!AW44,pin!$X$89:$AN$89,0))+0.2*(BU44-AI44)*(INDEX(pin!$X$90:$AN$108,MATCH(ΥΠΟΛΟΓΙΣΜΟΙ!BU44,pin!$V$90:$V$108,0),MATCH(ΥΠΟΛΟΓΙΣΜΟΙ!AW44,pin!$X$89:$AN$89,0))-INDEX(pin!$X$90:$AN$108,MATCH(ΥΠΟΛΟΓΙΣΜΟΙ!BV44,pin!$V$90:$V$108,0),MATCH(ΥΠΟΛΟΓΙΣΜΟΙ!AW44,pin!$X$89:$AN$89,0)))</f>
        <v>1</v>
      </c>
      <c r="BZ44" s="225">
        <f>INDEX(pin!$X$90:$AN$108,MATCH(ΥΠΟΛΟΓΙΣΜΟΙ!BU44,pin!$V$90:$V$108,0),MATCH(ΥΠΟΛΟΓΙΣΜΟΙ!AX44,pin!$X$89:$AN$89,0))+0.2*(BU44-AI44)*(INDEX(pin!$X$90:$AN$108,MATCH(ΥΠΟΛΟΓΙΣΜΟΙ!BU44,pin!$V$90:$V$108,0),MATCH(ΥΠΟΛΟΓΙΣΜΟΙ!AX44,pin!$X$89:$AN$89,0))-INDEX(pin!$X$90:$AN$108,MATCH(ΥΠΟΛΟΓΙΣΜΟΙ!BV44,pin!$V$90:$V$108,0),MATCH(ΥΠΟΛΟΓΙΣΜΟΙ!AX44,pin!$X$89:$AN$89,0)))</f>
        <v>1</v>
      </c>
      <c r="CA44" s="211"/>
    </row>
    <row r="45" spans="1:79" s="34" customFormat="1">
      <c r="A45" s="56">
        <v>8</v>
      </c>
      <c r="B45" s="128"/>
      <c r="C45" s="126"/>
      <c r="D45" s="126"/>
      <c r="E45" s="126"/>
      <c r="F45" s="47" t="str">
        <f t="shared" si="41"/>
        <v>-</v>
      </c>
      <c r="G45" s="90" t="str">
        <f t="shared" si="42"/>
        <v>-</v>
      </c>
      <c r="H45" s="129"/>
      <c r="I45" s="129"/>
      <c r="J45" s="309" t="s">
        <v>653</v>
      </c>
      <c r="K45" s="133"/>
      <c r="L45" s="455"/>
      <c r="M45" s="454"/>
      <c r="N45" s="266"/>
      <c r="O45" s="46">
        <f t="shared" si="43"/>
        <v>1</v>
      </c>
      <c r="P45" s="130">
        <f t="shared" si="44"/>
        <v>1</v>
      </c>
      <c r="Q45" s="46">
        <f t="shared" si="45"/>
        <v>1</v>
      </c>
      <c r="R45" s="130">
        <f t="shared" si="46"/>
        <v>1</v>
      </c>
      <c r="S45" s="46">
        <f t="shared" si="47"/>
        <v>1</v>
      </c>
      <c r="T45" s="130">
        <f t="shared" si="48"/>
        <v>1</v>
      </c>
      <c r="U45" s="131"/>
      <c r="V45" s="134" t="str">
        <f t="shared" si="49"/>
        <v>-</v>
      </c>
      <c r="W45" s="126"/>
      <c r="X45" s="134" t="str">
        <f t="shared" si="50"/>
        <v>-</v>
      </c>
      <c r="Y45" s="170"/>
      <c r="Z45" s="132"/>
      <c r="AA45" s="126"/>
      <c r="AB45" s="126"/>
      <c r="AC45" s="131"/>
      <c r="AD45" s="127"/>
      <c r="AE45" s="226">
        <f t="shared" si="51"/>
        <v>0</v>
      </c>
      <c r="AF45" s="202">
        <f t="shared" si="52"/>
        <v>0</v>
      </c>
      <c r="AG45" s="228">
        <f t="shared" si="53"/>
        <v>0</v>
      </c>
      <c r="AH45" s="202">
        <f t="shared" si="54"/>
        <v>0</v>
      </c>
      <c r="AI45" s="202">
        <f t="shared" si="55"/>
        <v>0</v>
      </c>
      <c r="AJ45" s="203">
        <f t="shared" si="61"/>
        <v>1</v>
      </c>
      <c r="AK45" s="203">
        <f t="shared" si="56"/>
        <v>1</v>
      </c>
      <c r="AL45" s="203">
        <f t="shared" si="57"/>
        <v>1</v>
      </c>
      <c r="AM45" s="203">
        <f t="shared" si="62"/>
        <v>1</v>
      </c>
      <c r="AN45" s="209">
        <f t="shared" si="58"/>
        <v>0</v>
      </c>
      <c r="AO45" s="210"/>
      <c r="AP45" s="210"/>
      <c r="AQ45" s="210"/>
      <c r="AR45" s="210"/>
      <c r="AS45" s="210"/>
      <c r="AT45" s="210"/>
      <c r="AU45" s="210"/>
      <c r="AV45" s="210" t="s">
        <v>268</v>
      </c>
      <c r="AW45" s="210">
        <f t="shared" si="59"/>
        <v>0</v>
      </c>
      <c r="AX45" s="225">
        <f t="shared" si="60"/>
        <v>0</v>
      </c>
      <c r="AY45" s="209">
        <f t="shared" si="31"/>
        <v>0</v>
      </c>
      <c r="AZ45" s="210">
        <f t="shared" si="32"/>
        <v>0</v>
      </c>
      <c r="BA45" s="210">
        <f>INDEX(pin!$D$6:$T$42,MATCH(ΥΠΟΛΟΓΙΣΜΟΙ!AY45,pin!$B$6:$B$42,0),MATCH(ΥΠΟΛΟΓΙΣΜΟΙ!AW45,pin!$D$5:$T$5,0))+0.4*(AY45-AE45)*(INDEX(pin!$D$6:$T$42,MATCH(ΥΠΟΛΟΓΙΣΜΟΙ!AY45,pin!$B$6:$B$42,0),MATCH(ΥΠΟΛΟΓΙΣΜΟΙ!AW45,pin!$D$5:$T$5,0))-INDEX(pin!$D$6:$T$42,MATCH(ΥΠΟΛΟΓΙΣΜΟΙ!AZ45,pin!$B$6:$B$42,0),MATCH(ΥΠΟΛΟΓΙΣΜΟΙ!AW45,pin!$D$5:$T$5,0)))</f>
        <v>1</v>
      </c>
      <c r="BB45" s="225">
        <f>INDEX(pin!$D$6:$T$42,MATCH(ΥΠΟΛΟΓΙΣΜΟΙ!AY45,pin!$B$6:$B$42,0),MATCH(ΥΠΟΛΟΓΙΣΜΟΙ!AX45,pin!$D$5:$T$5,0))+0.4*(AY45-AE45)*(INDEX(pin!$D$6:$T$42,MATCH(ΥΠΟΛΟΓΙΣΜΟΙ!AY45,pin!$B$6:$B$42,0),MATCH(ΥΠΟΛΟΓΙΣΜΟΙ!AX45,pin!$D$5:$T$5,0))-INDEX(pin!$D$6:$T$42,MATCH(ΥΠΟΛΟΓΙΣΜΟΙ!AZ45,pin!$B$6:$B$42,0),MATCH(ΥΠΟΛΟΓΙΣΜΟΙ!AX45,pin!$D$5:$T$5,0)))</f>
        <v>1</v>
      </c>
      <c r="BC45" s="210">
        <f>INDEX(pin!$X$6:$AN$42,MATCH(ΥΠΟΛΟΓΙΣΜΟΙ!AY45,pin!$V$6:$V$42,0),MATCH(ΥΠΟΛΟΓΙΣΜΟΙ!AW45,pin!$X$5:$AN$5,0))+0.4*(AY45-AE45)*(INDEX(pin!$X$6:$AN$42,MATCH(ΥΠΟΛΟΓΙΣΜΟΙ!AY45,pin!$V$6:$V$42,0),MATCH(ΥΠΟΛΟΓΙΣΜΟΙ!AW45,pin!$X$5:$AN$5,0))-INDEX(pin!$X$6:$AN$42,MATCH(ΥΠΟΛΟΓΙΣΜΟΙ!AZ45,pin!$V$6:$V$42,0),MATCH(ΥΠΟΛΟΓΙΣΜΟΙ!AW45,pin!$X$5:$AN$5,0)))</f>
        <v>1</v>
      </c>
      <c r="BD45" s="210">
        <f>INDEX(pin!$X$6:$AN$42,MATCH(ΥΠΟΛΟΓΙΣΜΟΙ!AY45,pin!$V$6:$V$42,0),MATCH(ΥΠΟΛΟΓΙΣΜΟΙ!AX45,pin!$X$5:$AN$5,0))+0.4*(AY45-AE45)*(INDEX(pin!$X$6:$AN$42,MATCH(ΥΠΟΛΟΓΙΣΜΟΙ!AY45,pin!$V$6:$V$42,0),MATCH(ΥΠΟΛΟΓΙΣΜΟΙ!AX45,pin!$X$5:$AN$5,0))-INDEX(pin!$X$6:$AN$42,MATCH(ΥΠΟΛΟΓΙΣΜΟΙ!AZ45,pin!$V$6:$V$42,0),MATCH(ΥΠΟΛΟΓΙΣΜΟΙ!AX45,pin!$X$5:$AN$5,0)))</f>
        <v>1</v>
      </c>
      <c r="BE45" s="209">
        <f t="shared" si="33"/>
        <v>0</v>
      </c>
      <c r="BF45" s="210">
        <f t="shared" si="34"/>
        <v>0</v>
      </c>
      <c r="BG45" s="210">
        <f>INDEX(pin!$D$48:$T$84,MATCH(ΥΠΟΛΟΓΙΣΜΟΙ!BE45,pin!$B$48:$B$84,0),MATCH(ΥΠΟΛΟΓΙΣΜΟΙ!AW45,pin!$D$47:$T$47,0))+0.4*(BE45-AF45)*(INDEX(pin!$D$48:$T$84,MATCH(ΥΠΟΛΟΓΙΣΜΟΙ!BE45,pin!$B$48:$B$84,0),MATCH(ΥΠΟΛΟΓΙΣΜΟΙ!AW45,pin!$D$47:$T$47,0))-INDEX(pin!$D$48:$T$84,MATCH(ΥΠΟΛΟΓΙΣΜΟΙ!BF45,pin!$B$48:$B$84,0),MATCH(ΥΠΟΛΟΓΙΣΜΟΙ!AW45,pin!$D$47:$T$47,0)))</f>
        <v>1</v>
      </c>
      <c r="BH45" s="210">
        <f>INDEX(pin!$D$48:$T$84,MATCH(ΥΠΟΛΟΓΙΣΜΟΙ!BE45,pin!$B$48:$B$84,0),MATCH(ΥΠΟΛΟΓΙΣΜΟΙ!AX45,pin!$D$47:$T$47,0))+0.4*(BE45-AF45)*(INDEX(pin!$D$48:$T$84,MATCH(ΥΠΟΛΟΓΙΣΜΟΙ!BE45,pin!$B$48:$B$84,0),MATCH(ΥΠΟΛΟΓΙΣΜΟΙ!AX45,pin!$D$47:$T$47,0))-INDEX(pin!$D$48:$T$84,MATCH(ΥΠΟΛΟΓΙΣΜΟΙ!BF45,pin!$B$48:$B$84,0),MATCH(ΥΠΟΛΟΓΙΣΜΟΙ!AX45,pin!$D$47:$T$47,0)))</f>
        <v>1</v>
      </c>
      <c r="BI45" s="209">
        <f>INDEX(pin!$X$48:$AN$84,MATCH(ΥΠΟΛΟΓΙΣΜΟΙ!BE45,pin!$V$48:$V$84,0),MATCH(ΥΠΟΛΟΓΙΣΜΟΙ!AW45,pin!$X$47:$AN$47,0))+0.4*(BE45-AF45)*(INDEX(pin!$X$48:$AN$84,MATCH(ΥΠΟΛΟΓΙΣΜΟΙ!BE45,pin!$V$48:$V$84,0),MATCH(ΥΠΟΛΟΓΙΣΜΟΙ!AW45,pin!$X$47:$AN$47,0))-INDEX(pin!$X$48:$AN$84,MATCH(ΥΠΟΛΟΓΙΣΜΟΙ!BF45,pin!$V$48:$V$84,0),MATCH(ΥΠΟΛΟΓΙΣΜΟΙ!AW45,pin!$X$47:$AN$47,0)))</f>
        <v>1</v>
      </c>
      <c r="BJ45" s="225">
        <f>INDEX(pin!$X$48:$AN$84,MATCH(ΥΠΟΛΟΓΙΣΜΟΙ!BE45,pin!$V$48:$V$84,0),MATCH(ΥΠΟΛΟΓΙΣΜΟΙ!AX45,pin!$X$47:$AN$47,0))+0.4*(BE45-AF45)*(INDEX(pin!$X$48:$AN$84,MATCH(ΥΠΟΛΟΓΙΣΜΟΙ!BE45,pin!$V$48:$V$84,0),MATCH(ΥΠΟΛΟΓΙΣΜΟΙ!AX45,pin!$X$47:$AN$47,0))-INDEX(pin!$X$48:$AN$84,MATCH(ΥΠΟΛΟΓΙΣΜΟΙ!BF45,pin!$V$48:$V$84,0),MATCH(ΥΠΟΛΟΓΙΣΜΟΙ!AX45,pin!$X$47:$AN$47,0)))</f>
        <v>1</v>
      </c>
      <c r="BK45" s="209">
        <f t="shared" si="35"/>
        <v>0</v>
      </c>
      <c r="BL45" s="210">
        <f t="shared" si="36"/>
        <v>0</v>
      </c>
      <c r="BM45" s="210">
        <f>INDEX(pin!$X$48:$AN$84,MATCH(ΥΠΟΛΟΓΙΣΜΟΙ!BK45,pin!$V$48:$V$84,0),MATCH(ΥΠΟΛΟΓΙΣΜΟΙ!AW45,pin!$X$47:$AN$47,0))+0.4*(BK45-AG45)*(INDEX(pin!$X$48:$AN$84,MATCH(ΥΠΟΛΟΓΙΣΜΟΙ!BK45,pin!$V$48:$V$84,0),MATCH(ΥΠΟΛΟΓΙΣΜΟΙ!AW45,pin!$X$47:$AN$47,0))-INDEX(pin!$X$48:$AN$84,MATCH(ΥΠΟΛΟΓΙΣΜΟΙ!BL45,pin!$V$48:$V$84,0),MATCH(ΥΠΟΛΟΓΙΣΜΟΙ!AW45,pin!$X$47:$AN$47,0)))</f>
        <v>1</v>
      </c>
      <c r="BN45" s="225">
        <f>INDEX(pin!$X$48:$AN$84,MATCH(ΥΠΟΛΟΓΙΣΜΟΙ!BK45,pin!$V$48:$V$84,0),MATCH(ΥΠΟΛΟΓΙΣΜΟΙ!AX45,pin!$X$47:$AN$47,0))+0.4*(BK45-AG45)*(INDEX(pin!$X$48:$AN$84,MATCH(ΥΠΟΛΟΓΙΣΜΟΙ!BK45,pin!$V$48:$V$84,0),MATCH(ΥΠΟΛΟΓΙΣΜΟΙ!AX45,pin!$X$47:$AN$47,0))-INDEX(pin!$X$48:$AN$84,MATCH(ΥΠΟΛΟΓΙΣΜΟΙ!BL45,pin!$V$48:$V$84,0),MATCH(ΥΠΟΛΟΓΙΣΜΟΙ!AX45,pin!$X$47:$AN$47,0)))</f>
        <v>1</v>
      </c>
      <c r="BO45" s="209">
        <f t="shared" si="37"/>
        <v>0</v>
      </c>
      <c r="BP45" s="210">
        <f t="shared" si="38"/>
        <v>0</v>
      </c>
      <c r="BQ45" s="210">
        <f>INDEX(pin!$D$114:$T$132,MATCH(ΥΠΟΛΟΓΙΣΜΟΙ!BO45,pin!$B$114:$B$132,0),MATCH(ΥΠΟΛΟΓΙΣΜΟΙ!AW45,pin!$D$113:$T$113,0))+0.2*(BO45-AH45)*(INDEX(pin!$D$114:$T$132,MATCH(ΥΠΟΛΟΓΙΣΜΟΙ!BO45,pin!$B$114:$B$132,0),MATCH(ΥΠΟΛΟΓΙΣΜΟΙ!AW45,pin!$D$113:$T$113,0))-INDEX(pin!$D$114:$T$132,MATCH(ΥΠΟΛΟΓΙΣΜΟΙ!BP45,pin!$B$114:$B$132,0),MATCH(ΥΠΟΛΟΓΙΣΜΟΙ!AW45,pin!$D$113:$T$113,0)))</f>
        <v>1</v>
      </c>
      <c r="BR45" s="210">
        <f>INDEX(pin!$D$114:$T$132,MATCH(ΥΠΟΛΟΓΙΣΜΟΙ!BO45,pin!$B$114:$B$132,0),MATCH(ΥΠΟΛΟΓΙΣΜΟΙ!AX45,pin!$D$113:$T$113,0))+0.2*(BO45-AH45)*(INDEX(pin!$D$114:$T$132,MATCH(ΥΠΟΛΟΓΙΣΜΟΙ!BO45,pin!$B$114:$B$132,0),MATCH(ΥΠΟΛΟΓΙΣΜΟΙ!AX45,pin!$D$113:$T$113,0))-INDEX(pin!$D$114:$T$132,MATCH(ΥΠΟΛΟΓΙΣΜΟΙ!BP45,pin!$B$114:$B$132,0),MATCH(ΥΠΟΛΟΓΙΣΜΟΙ!AX45,pin!$D$113:$T$113,0)))</f>
        <v>1</v>
      </c>
      <c r="BS45" s="209">
        <f>INDEX(pin!$X$114:$AN$132,MATCH(ΥΠΟΛΟΓΙΣΜΟΙ!BO45,pin!$V$114:$V$132,0),MATCH(ΥΠΟΛΟΓΙΣΜΟΙ!AW45,pin!$X$113:$AN$113,0))+0.2*(BO45-AH45)*(INDEX(pin!$X$114:$AN$132,MATCH(ΥΠΟΛΟΓΙΣΜΟΙ!BO45,pin!$V$114:$V$132,0),MATCH(ΥΠΟΛΟΓΙΣΜΟΙ!AW45,pin!$X$113:$AN$113,0))-INDEX(pin!$X$114:$AN$132,MATCH(ΥΠΟΛΟΓΙΣΜΟΙ!BP45,pin!$V$114:$V$132,0),MATCH(ΥΠΟΛΟΓΙΣΜΟΙ!AW45,pin!$X$113:$AN$113,0)))</f>
        <v>1</v>
      </c>
      <c r="BT45" s="225">
        <f>INDEX(pin!$X$114:$AN$132,MATCH(ΥΠΟΛΟΓΙΣΜΟΙ!BO45,pin!$V$114:$V$132,0),MATCH(ΥΠΟΛΟΓΙΣΜΟΙ!AX45,pin!$X$113:$AN$113,0))+0.2*(BO45-AH45)*(INDEX(pin!$X$114:$AN$132,MATCH(ΥΠΟΛΟΓΙΣΜΟΙ!BO45,pin!$V$114:$V$132,0),MATCH(ΥΠΟΛΟΓΙΣΜΟΙ!AX45,pin!$X$113:$AN$113,0))-INDEX(pin!$X$114:$AN$132,MATCH(ΥΠΟΛΟΓΙΣΜΟΙ!BP45,pin!$V$114:$V$132,0),MATCH(ΥΠΟΛΟΓΙΣΜΟΙ!AX45,pin!$X$113:$AN$113,0)))</f>
        <v>1</v>
      </c>
      <c r="BU45" s="209">
        <f t="shared" si="39"/>
        <v>0</v>
      </c>
      <c r="BV45" s="210">
        <f t="shared" si="40"/>
        <v>0</v>
      </c>
      <c r="BW45" s="210">
        <f>INDEX(pin!$D$90:$T$108,MATCH(ΥΠΟΛΟΓΙΣΜΟΙ!BU45,pin!$B$90:$B$108,0),MATCH(ΥΠΟΛΟΓΙΣΜΟΙ!AW45,pin!$D$89:$T$89,0))+0.2*(BU45-AI45)*(INDEX(pin!$D$90:$T$108,MATCH(ΥΠΟΛΟΓΙΣΜΟΙ!BU45,pin!$B$90:$B$108,0),MATCH(ΥΠΟΛΟΓΙΣΜΟΙ!AW45,pin!$D$89:$T$89,0))-INDEX(pin!$D$90:$T$108,MATCH(ΥΠΟΛΟΓΙΣΜΟΙ!BV45,pin!$B$90:$B$108,0),MATCH(ΥΠΟΛΟΓΙΣΜΟΙ!AW45,pin!$D$89:$T$89,0)))</f>
        <v>1</v>
      </c>
      <c r="BX45" s="225">
        <f>INDEX(pin!$D$90:$T$108,MATCH(ΥΠΟΛΟΓΙΣΜΟΙ!BU45,pin!$B$90:$B$108,0),MATCH(ΥΠΟΛΟΓΙΣΜΟΙ!AX45,pin!$D$89:$T$89,0))+0.2*(BU45-AI45)*(INDEX(pin!$D$90:$T$108,MATCH(ΥΠΟΛΟΓΙΣΜΟΙ!BU45,pin!$B$90:$B$108,0),MATCH(ΥΠΟΛΟΓΙΣΜΟΙ!AX45,pin!$D$89:$T$89,0))-INDEX(pin!$D$90:$T$108,MATCH(ΥΠΟΛΟΓΙΣΜΟΙ!BV45,pin!$B$90:$B$108,0),MATCH(ΥΠΟΛΟΓΙΣΜΟΙ!AX45,pin!$D$89:$T$89,0)))</f>
        <v>1</v>
      </c>
      <c r="BY45" s="210">
        <f>INDEX(pin!$X$90:$AN$108,MATCH(ΥΠΟΛΟΓΙΣΜΟΙ!BU45,pin!$V$90:$V$108,0),MATCH(ΥΠΟΛΟΓΙΣΜΟΙ!AW45,pin!$X$89:$AN$89,0))+0.2*(BU45-AI45)*(INDEX(pin!$X$90:$AN$108,MATCH(ΥΠΟΛΟΓΙΣΜΟΙ!BU45,pin!$V$90:$V$108,0),MATCH(ΥΠΟΛΟΓΙΣΜΟΙ!AW45,pin!$X$89:$AN$89,0))-INDEX(pin!$X$90:$AN$108,MATCH(ΥΠΟΛΟΓΙΣΜΟΙ!BV45,pin!$V$90:$V$108,0),MATCH(ΥΠΟΛΟΓΙΣΜΟΙ!AW45,pin!$X$89:$AN$89,0)))</f>
        <v>1</v>
      </c>
      <c r="BZ45" s="225">
        <f>INDEX(pin!$X$90:$AN$108,MATCH(ΥΠΟΛΟΓΙΣΜΟΙ!BU45,pin!$V$90:$V$108,0),MATCH(ΥΠΟΛΟΓΙΣΜΟΙ!AX45,pin!$X$89:$AN$89,0))+0.2*(BU45-AI45)*(INDEX(pin!$X$90:$AN$108,MATCH(ΥΠΟΛΟΓΙΣΜΟΙ!BU45,pin!$V$90:$V$108,0),MATCH(ΥΠΟΛΟΓΙΣΜΟΙ!AX45,pin!$X$89:$AN$89,0))-INDEX(pin!$X$90:$AN$108,MATCH(ΥΠΟΛΟΓΙΣΜΟΙ!BV45,pin!$V$90:$V$108,0),MATCH(ΥΠΟΛΟΓΙΣΜΟΙ!AX45,pin!$X$89:$AN$89,0)))</f>
        <v>1</v>
      </c>
      <c r="CA45" s="211"/>
    </row>
    <row r="46" spans="1:79" s="34" customFormat="1">
      <c r="A46" s="56">
        <v>9</v>
      </c>
      <c r="B46" s="128"/>
      <c r="C46" s="126"/>
      <c r="D46" s="126"/>
      <c r="E46" s="126"/>
      <c r="F46" s="47" t="str">
        <f t="shared" si="41"/>
        <v>-</v>
      </c>
      <c r="G46" s="90" t="str">
        <f t="shared" si="42"/>
        <v>-</v>
      </c>
      <c r="H46" s="129"/>
      <c r="I46" s="129"/>
      <c r="J46" s="309" t="s">
        <v>653</v>
      </c>
      <c r="K46" s="133"/>
      <c r="L46" s="455"/>
      <c r="M46" s="454"/>
      <c r="N46" s="266"/>
      <c r="O46" s="46">
        <f t="shared" si="43"/>
        <v>1</v>
      </c>
      <c r="P46" s="130">
        <f t="shared" si="44"/>
        <v>1</v>
      </c>
      <c r="Q46" s="46">
        <f t="shared" si="45"/>
        <v>1</v>
      </c>
      <c r="R46" s="130">
        <f t="shared" si="46"/>
        <v>1</v>
      </c>
      <c r="S46" s="46">
        <f t="shared" si="47"/>
        <v>1</v>
      </c>
      <c r="T46" s="130">
        <f t="shared" si="48"/>
        <v>1</v>
      </c>
      <c r="U46" s="131"/>
      <c r="V46" s="134" t="str">
        <f t="shared" si="49"/>
        <v>-</v>
      </c>
      <c r="W46" s="126"/>
      <c r="X46" s="134" t="str">
        <f>IF(W46=0,"-",L46-0.5*F46-E46)</f>
        <v>-</v>
      </c>
      <c r="Y46" s="170"/>
      <c r="Z46" s="132"/>
      <c r="AA46" s="126"/>
      <c r="AB46" s="126"/>
      <c r="AC46" s="131"/>
      <c r="AD46" s="127"/>
      <c r="AE46" s="226">
        <f t="shared" si="51"/>
        <v>0</v>
      </c>
      <c r="AF46" s="202">
        <f t="shared" si="52"/>
        <v>0</v>
      </c>
      <c r="AG46" s="228">
        <f t="shared" si="53"/>
        <v>0</v>
      </c>
      <c r="AH46" s="202">
        <f t="shared" si="54"/>
        <v>0</v>
      </c>
      <c r="AI46" s="202">
        <f t="shared" si="55"/>
        <v>0</v>
      </c>
      <c r="AJ46" s="203">
        <f t="shared" si="61"/>
        <v>1</v>
      </c>
      <c r="AK46" s="203">
        <f t="shared" si="56"/>
        <v>1</v>
      </c>
      <c r="AL46" s="203">
        <f t="shared" si="57"/>
        <v>1</v>
      </c>
      <c r="AM46" s="203">
        <f t="shared" si="62"/>
        <v>1</v>
      </c>
      <c r="AN46" s="209">
        <f t="shared" si="58"/>
        <v>0</v>
      </c>
      <c r="AO46" s="210"/>
      <c r="AP46" s="210"/>
      <c r="AQ46" s="210"/>
      <c r="AR46" s="210"/>
      <c r="AS46" s="210"/>
      <c r="AT46" s="210"/>
      <c r="AU46" s="210"/>
      <c r="AV46" s="210" t="s">
        <v>268</v>
      </c>
      <c r="AW46" s="210">
        <f t="shared" si="59"/>
        <v>0</v>
      </c>
      <c r="AX46" s="225">
        <f t="shared" si="60"/>
        <v>0</v>
      </c>
      <c r="AY46" s="209">
        <f t="shared" si="31"/>
        <v>0</v>
      </c>
      <c r="AZ46" s="210">
        <f t="shared" si="32"/>
        <v>0</v>
      </c>
      <c r="BA46" s="210">
        <f>INDEX(pin!$D$6:$T$42,MATCH(ΥΠΟΛΟΓΙΣΜΟΙ!AY46,pin!$B$6:$B$42,0),MATCH(ΥΠΟΛΟΓΙΣΜΟΙ!AW46,pin!$D$5:$T$5,0))+0.4*(AY46-AE46)*(INDEX(pin!$D$6:$T$42,MATCH(ΥΠΟΛΟΓΙΣΜΟΙ!AY46,pin!$B$6:$B$42,0),MATCH(ΥΠΟΛΟΓΙΣΜΟΙ!AW46,pin!$D$5:$T$5,0))-INDEX(pin!$D$6:$T$42,MATCH(ΥΠΟΛΟΓΙΣΜΟΙ!AZ46,pin!$B$6:$B$42,0),MATCH(ΥΠΟΛΟΓΙΣΜΟΙ!AW46,pin!$D$5:$T$5,0)))</f>
        <v>1</v>
      </c>
      <c r="BB46" s="225">
        <f>INDEX(pin!$D$6:$T$42,MATCH(ΥΠΟΛΟΓΙΣΜΟΙ!AY46,pin!$B$6:$B$42,0),MATCH(ΥΠΟΛΟΓΙΣΜΟΙ!AX46,pin!$D$5:$T$5,0))+0.4*(AY46-AE46)*(INDEX(pin!$D$6:$T$42,MATCH(ΥΠΟΛΟΓΙΣΜΟΙ!AY46,pin!$B$6:$B$42,0),MATCH(ΥΠΟΛΟΓΙΣΜΟΙ!AX46,pin!$D$5:$T$5,0))-INDEX(pin!$D$6:$T$42,MATCH(ΥΠΟΛΟΓΙΣΜΟΙ!AZ46,pin!$B$6:$B$42,0),MATCH(ΥΠΟΛΟΓΙΣΜΟΙ!AX46,pin!$D$5:$T$5,0)))</f>
        <v>1</v>
      </c>
      <c r="BC46" s="210">
        <f>INDEX(pin!$X$6:$AN$42,MATCH(ΥΠΟΛΟΓΙΣΜΟΙ!AY46,pin!$V$6:$V$42,0),MATCH(ΥΠΟΛΟΓΙΣΜΟΙ!AW46,pin!$X$5:$AN$5,0))+0.4*(AY46-AE46)*(INDEX(pin!$X$6:$AN$42,MATCH(ΥΠΟΛΟΓΙΣΜΟΙ!AY46,pin!$V$6:$V$42,0),MATCH(ΥΠΟΛΟΓΙΣΜΟΙ!AW46,pin!$X$5:$AN$5,0))-INDEX(pin!$X$6:$AN$42,MATCH(ΥΠΟΛΟΓΙΣΜΟΙ!AZ46,pin!$V$6:$V$42,0),MATCH(ΥΠΟΛΟΓΙΣΜΟΙ!AW46,pin!$X$5:$AN$5,0)))</f>
        <v>1</v>
      </c>
      <c r="BD46" s="210">
        <f>INDEX(pin!$X$6:$AN$42,MATCH(ΥΠΟΛΟΓΙΣΜΟΙ!AY46,pin!$V$6:$V$42,0),MATCH(ΥΠΟΛΟΓΙΣΜΟΙ!AX46,pin!$X$5:$AN$5,0))+0.4*(AY46-AE46)*(INDEX(pin!$X$6:$AN$42,MATCH(ΥΠΟΛΟΓΙΣΜΟΙ!AY46,pin!$V$6:$V$42,0),MATCH(ΥΠΟΛΟΓΙΣΜΟΙ!AX46,pin!$X$5:$AN$5,0))-INDEX(pin!$X$6:$AN$42,MATCH(ΥΠΟΛΟΓΙΣΜΟΙ!AZ46,pin!$V$6:$V$42,0),MATCH(ΥΠΟΛΟΓΙΣΜΟΙ!AX46,pin!$X$5:$AN$5,0)))</f>
        <v>1</v>
      </c>
      <c r="BE46" s="209">
        <f t="shared" si="33"/>
        <v>0</v>
      </c>
      <c r="BF46" s="210">
        <f t="shared" si="34"/>
        <v>0</v>
      </c>
      <c r="BG46" s="210">
        <f>INDEX(pin!$D$48:$T$84,MATCH(ΥΠΟΛΟΓΙΣΜΟΙ!BE46,pin!$B$48:$B$84,0),MATCH(ΥΠΟΛΟΓΙΣΜΟΙ!AW46,pin!$D$47:$T$47,0))+0.4*(BE46-AF46)*(INDEX(pin!$D$48:$T$84,MATCH(ΥΠΟΛΟΓΙΣΜΟΙ!BE46,pin!$B$48:$B$84,0),MATCH(ΥΠΟΛΟΓΙΣΜΟΙ!AW46,pin!$D$47:$T$47,0))-INDEX(pin!$D$48:$T$84,MATCH(ΥΠΟΛΟΓΙΣΜΟΙ!BF46,pin!$B$48:$B$84,0),MATCH(ΥΠΟΛΟΓΙΣΜΟΙ!AW46,pin!$D$47:$T$47,0)))</f>
        <v>1</v>
      </c>
      <c r="BH46" s="210">
        <f>INDEX(pin!$D$48:$T$84,MATCH(ΥΠΟΛΟΓΙΣΜΟΙ!BE46,pin!$B$48:$B$84,0),MATCH(ΥΠΟΛΟΓΙΣΜΟΙ!AX46,pin!$D$47:$T$47,0))+0.4*(BE46-AF46)*(INDEX(pin!$D$48:$T$84,MATCH(ΥΠΟΛΟΓΙΣΜΟΙ!BE46,pin!$B$48:$B$84,0),MATCH(ΥΠΟΛΟΓΙΣΜΟΙ!AX46,pin!$D$47:$T$47,0))-INDEX(pin!$D$48:$T$84,MATCH(ΥΠΟΛΟΓΙΣΜΟΙ!BF46,pin!$B$48:$B$84,0),MATCH(ΥΠΟΛΟΓΙΣΜΟΙ!AX46,pin!$D$47:$T$47,0)))</f>
        <v>1</v>
      </c>
      <c r="BI46" s="209">
        <f>INDEX(pin!$X$48:$AN$84,MATCH(ΥΠΟΛΟΓΙΣΜΟΙ!BE46,pin!$V$48:$V$84,0),MATCH(ΥΠΟΛΟΓΙΣΜΟΙ!AW46,pin!$X$47:$AN$47,0))+0.4*(BE46-AF46)*(INDEX(pin!$X$48:$AN$84,MATCH(ΥΠΟΛΟΓΙΣΜΟΙ!BE46,pin!$V$48:$V$84,0),MATCH(ΥΠΟΛΟΓΙΣΜΟΙ!AW46,pin!$X$47:$AN$47,0))-INDEX(pin!$X$48:$AN$84,MATCH(ΥΠΟΛΟΓΙΣΜΟΙ!BF46,pin!$V$48:$V$84,0),MATCH(ΥΠΟΛΟΓΙΣΜΟΙ!AW46,pin!$X$47:$AN$47,0)))</f>
        <v>1</v>
      </c>
      <c r="BJ46" s="225">
        <f>INDEX(pin!$X$48:$AN$84,MATCH(ΥΠΟΛΟΓΙΣΜΟΙ!BE46,pin!$V$48:$V$84,0),MATCH(ΥΠΟΛΟΓΙΣΜΟΙ!AX46,pin!$X$47:$AN$47,0))+0.4*(BE46-AF46)*(INDEX(pin!$X$48:$AN$84,MATCH(ΥΠΟΛΟΓΙΣΜΟΙ!BE46,pin!$V$48:$V$84,0),MATCH(ΥΠΟΛΟΓΙΣΜΟΙ!AX46,pin!$X$47:$AN$47,0))-INDEX(pin!$X$48:$AN$84,MATCH(ΥΠΟΛΟΓΙΣΜΟΙ!BF46,pin!$V$48:$V$84,0),MATCH(ΥΠΟΛΟΓΙΣΜΟΙ!AX46,pin!$X$47:$AN$47,0)))</f>
        <v>1</v>
      </c>
      <c r="BK46" s="209">
        <f t="shared" si="35"/>
        <v>0</v>
      </c>
      <c r="BL46" s="210">
        <f t="shared" si="36"/>
        <v>0</v>
      </c>
      <c r="BM46" s="210">
        <f>INDEX(pin!$X$48:$AN$84,MATCH(ΥΠΟΛΟΓΙΣΜΟΙ!BK46,pin!$V$48:$V$84,0),MATCH(ΥΠΟΛΟΓΙΣΜΟΙ!AW46,pin!$X$47:$AN$47,0))+0.4*(BK46-AG46)*(INDEX(pin!$X$48:$AN$84,MATCH(ΥΠΟΛΟΓΙΣΜΟΙ!BK46,pin!$V$48:$V$84,0),MATCH(ΥΠΟΛΟΓΙΣΜΟΙ!AW46,pin!$X$47:$AN$47,0))-INDEX(pin!$X$48:$AN$84,MATCH(ΥΠΟΛΟΓΙΣΜΟΙ!BL46,pin!$V$48:$V$84,0),MATCH(ΥΠΟΛΟΓΙΣΜΟΙ!AW46,pin!$X$47:$AN$47,0)))</f>
        <v>1</v>
      </c>
      <c r="BN46" s="225">
        <f>INDEX(pin!$X$48:$AN$84,MATCH(ΥΠΟΛΟΓΙΣΜΟΙ!BK46,pin!$V$48:$V$84,0),MATCH(ΥΠΟΛΟΓΙΣΜΟΙ!AX46,pin!$X$47:$AN$47,0))+0.4*(BK46-AG46)*(INDEX(pin!$X$48:$AN$84,MATCH(ΥΠΟΛΟΓΙΣΜΟΙ!BK46,pin!$V$48:$V$84,0),MATCH(ΥΠΟΛΟΓΙΣΜΟΙ!AX46,pin!$X$47:$AN$47,0))-INDEX(pin!$X$48:$AN$84,MATCH(ΥΠΟΛΟΓΙΣΜΟΙ!BL46,pin!$V$48:$V$84,0),MATCH(ΥΠΟΛΟΓΙΣΜΟΙ!AX46,pin!$X$47:$AN$47,0)))</f>
        <v>1</v>
      </c>
      <c r="BO46" s="209">
        <f t="shared" si="37"/>
        <v>0</v>
      </c>
      <c r="BP46" s="210">
        <f t="shared" si="38"/>
        <v>0</v>
      </c>
      <c r="BQ46" s="210">
        <f>INDEX(pin!$D$114:$T$132,MATCH(ΥΠΟΛΟΓΙΣΜΟΙ!BO46,pin!$B$114:$B$132,0),MATCH(ΥΠΟΛΟΓΙΣΜΟΙ!AW46,pin!$D$113:$T$113,0))+0.2*(BO46-AH46)*(INDEX(pin!$D$114:$T$132,MATCH(ΥΠΟΛΟΓΙΣΜΟΙ!BO46,pin!$B$114:$B$132,0),MATCH(ΥΠΟΛΟΓΙΣΜΟΙ!AW46,pin!$D$113:$T$113,0))-INDEX(pin!$D$114:$T$132,MATCH(ΥΠΟΛΟΓΙΣΜΟΙ!BP46,pin!$B$114:$B$132,0),MATCH(ΥΠΟΛΟΓΙΣΜΟΙ!AW46,pin!$D$113:$T$113,0)))</f>
        <v>1</v>
      </c>
      <c r="BR46" s="210">
        <f>INDEX(pin!$D$114:$T$132,MATCH(ΥΠΟΛΟΓΙΣΜΟΙ!BO46,pin!$B$114:$B$132,0),MATCH(ΥΠΟΛΟΓΙΣΜΟΙ!AX46,pin!$D$113:$T$113,0))+0.2*(BO46-AH46)*(INDEX(pin!$D$114:$T$132,MATCH(ΥΠΟΛΟΓΙΣΜΟΙ!BO46,pin!$B$114:$B$132,0),MATCH(ΥΠΟΛΟΓΙΣΜΟΙ!AX46,pin!$D$113:$T$113,0))-INDEX(pin!$D$114:$T$132,MATCH(ΥΠΟΛΟΓΙΣΜΟΙ!BP46,pin!$B$114:$B$132,0),MATCH(ΥΠΟΛΟΓΙΣΜΟΙ!AX46,pin!$D$113:$T$113,0)))</f>
        <v>1</v>
      </c>
      <c r="BS46" s="209">
        <f>INDEX(pin!$X$114:$AN$132,MATCH(ΥΠΟΛΟΓΙΣΜΟΙ!BO46,pin!$V$114:$V$132,0),MATCH(ΥΠΟΛΟΓΙΣΜΟΙ!AW46,pin!$X$113:$AN$113,0))+0.2*(BO46-AH46)*(INDEX(pin!$X$114:$AN$132,MATCH(ΥΠΟΛΟΓΙΣΜΟΙ!BO46,pin!$V$114:$V$132,0),MATCH(ΥΠΟΛΟΓΙΣΜΟΙ!AW46,pin!$X$113:$AN$113,0))-INDEX(pin!$X$114:$AN$132,MATCH(ΥΠΟΛΟΓΙΣΜΟΙ!BP46,pin!$V$114:$V$132,0),MATCH(ΥΠΟΛΟΓΙΣΜΟΙ!AW46,pin!$X$113:$AN$113,0)))</f>
        <v>1</v>
      </c>
      <c r="BT46" s="225">
        <f>INDEX(pin!$X$114:$AN$132,MATCH(ΥΠΟΛΟΓΙΣΜΟΙ!BO46,pin!$V$114:$V$132,0),MATCH(ΥΠΟΛΟΓΙΣΜΟΙ!AX46,pin!$X$113:$AN$113,0))+0.2*(BO46-AH46)*(INDEX(pin!$X$114:$AN$132,MATCH(ΥΠΟΛΟΓΙΣΜΟΙ!BO46,pin!$V$114:$V$132,0),MATCH(ΥΠΟΛΟΓΙΣΜΟΙ!AX46,pin!$X$113:$AN$113,0))-INDEX(pin!$X$114:$AN$132,MATCH(ΥΠΟΛΟΓΙΣΜΟΙ!BP46,pin!$V$114:$V$132,0),MATCH(ΥΠΟΛΟΓΙΣΜΟΙ!AX46,pin!$X$113:$AN$113,0)))</f>
        <v>1</v>
      </c>
      <c r="BU46" s="209">
        <f t="shared" si="39"/>
        <v>0</v>
      </c>
      <c r="BV46" s="210">
        <f t="shared" si="40"/>
        <v>0</v>
      </c>
      <c r="BW46" s="210">
        <f>INDEX(pin!$D$90:$T$108,MATCH(ΥΠΟΛΟΓΙΣΜΟΙ!BU46,pin!$B$90:$B$108,0),MATCH(ΥΠΟΛΟΓΙΣΜΟΙ!AW46,pin!$D$89:$T$89,0))+0.2*(BU46-AI46)*(INDEX(pin!$D$90:$T$108,MATCH(ΥΠΟΛΟΓΙΣΜΟΙ!BU46,pin!$B$90:$B$108,0),MATCH(ΥΠΟΛΟΓΙΣΜΟΙ!AW46,pin!$D$89:$T$89,0))-INDEX(pin!$D$90:$T$108,MATCH(ΥΠΟΛΟΓΙΣΜΟΙ!BV46,pin!$B$90:$B$108,0),MATCH(ΥΠΟΛΟΓΙΣΜΟΙ!AW46,pin!$D$89:$T$89,0)))</f>
        <v>1</v>
      </c>
      <c r="BX46" s="225">
        <f>INDEX(pin!$D$90:$T$108,MATCH(ΥΠΟΛΟΓΙΣΜΟΙ!BU46,pin!$B$90:$B$108,0),MATCH(ΥΠΟΛΟΓΙΣΜΟΙ!AX46,pin!$D$89:$T$89,0))+0.2*(BU46-AI46)*(INDEX(pin!$D$90:$T$108,MATCH(ΥΠΟΛΟΓΙΣΜΟΙ!BU46,pin!$B$90:$B$108,0),MATCH(ΥΠΟΛΟΓΙΣΜΟΙ!AX46,pin!$D$89:$T$89,0))-INDEX(pin!$D$90:$T$108,MATCH(ΥΠΟΛΟΓΙΣΜΟΙ!BV46,pin!$B$90:$B$108,0),MATCH(ΥΠΟΛΟΓΙΣΜΟΙ!AX46,pin!$D$89:$T$89,0)))</f>
        <v>1</v>
      </c>
      <c r="BY46" s="210">
        <f>INDEX(pin!$X$90:$AN$108,MATCH(ΥΠΟΛΟΓΙΣΜΟΙ!BU46,pin!$V$90:$V$108,0),MATCH(ΥΠΟΛΟΓΙΣΜΟΙ!AW46,pin!$X$89:$AN$89,0))+0.2*(BU46-AI46)*(INDEX(pin!$X$90:$AN$108,MATCH(ΥΠΟΛΟΓΙΣΜΟΙ!BU46,pin!$V$90:$V$108,0),MATCH(ΥΠΟΛΟΓΙΣΜΟΙ!AW46,pin!$X$89:$AN$89,0))-INDEX(pin!$X$90:$AN$108,MATCH(ΥΠΟΛΟΓΙΣΜΟΙ!BV46,pin!$V$90:$V$108,0),MATCH(ΥΠΟΛΟΓΙΣΜΟΙ!AW46,pin!$X$89:$AN$89,0)))</f>
        <v>1</v>
      </c>
      <c r="BZ46" s="225">
        <f>INDEX(pin!$X$90:$AN$108,MATCH(ΥΠΟΛΟΓΙΣΜΟΙ!BU46,pin!$V$90:$V$108,0),MATCH(ΥΠΟΛΟΓΙΣΜΟΙ!AX46,pin!$X$89:$AN$89,0))+0.2*(BU46-AI46)*(INDEX(pin!$X$90:$AN$108,MATCH(ΥΠΟΛΟΓΙΣΜΟΙ!BU46,pin!$V$90:$V$108,0),MATCH(ΥΠΟΛΟΓΙΣΜΟΙ!AX46,pin!$X$89:$AN$89,0))-INDEX(pin!$X$90:$AN$108,MATCH(ΥΠΟΛΟΓΙΣΜΟΙ!BV46,pin!$V$90:$V$108,0),MATCH(ΥΠΟΛΟΓΙΣΜΟΙ!AX46,pin!$X$89:$AN$89,0)))</f>
        <v>1</v>
      </c>
      <c r="CA46" s="211"/>
    </row>
    <row r="47" spans="1:79" s="34" customFormat="1">
      <c r="A47" s="56">
        <v>10</v>
      </c>
      <c r="B47" s="128"/>
      <c r="C47" s="126"/>
      <c r="D47" s="126"/>
      <c r="E47" s="126"/>
      <c r="F47" s="47" t="str">
        <f t="shared" si="41"/>
        <v>-</v>
      </c>
      <c r="G47" s="90" t="str">
        <f t="shared" si="42"/>
        <v>-</v>
      </c>
      <c r="H47" s="129"/>
      <c r="I47" s="129"/>
      <c r="J47" s="309" t="s">
        <v>653</v>
      </c>
      <c r="K47" s="133"/>
      <c r="L47" s="455"/>
      <c r="M47" s="454"/>
      <c r="N47" s="266"/>
      <c r="O47" s="46">
        <f t="shared" si="43"/>
        <v>1</v>
      </c>
      <c r="P47" s="130">
        <f t="shared" si="44"/>
        <v>1</v>
      </c>
      <c r="Q47" s="46">
        <f t="shared" si="45"/>
        <v>1</v>
      </c>
      <c r="R47" s="130">
        <f t="shared" si="46"/>
        <v>1</v>
      </c>
      <c r="S47" s="46">
        <f t="shared" si="47"/>
        <v>1</v>
      </c>
      <c r="T47" s="130">
        <f t="shared" si="48"/>
        <v>1</v>
      </c>
      <c r="U47" s="131"/>
      <c r="V47" s="134" t="str">
        <f t="shared" si="49"/>
        <v>-</v>
      </c>
      <c r="W47" s="126"/>
      <c r="X47" s="134" t="str">
        <f t="shared" si="50"/>
        <v>-</v>
      </c>
      <c r="Y47" s="170"/>
      <c r="Z47" s="132"/>
      <c r="AA47" s="126"/>
      <c r="AB47" s="126"/>
      <c r="AC47" s="131"/>
      <c r="AD47" s="127"/>
      <c r="AE47" s="226">
        <f t="shared" si="51"/>
        <v>0</v>
      </c>
      <c r="AF47" s="202">
        <f t="shared" si="52"/>
        <v>0</v>
      </c>
      <c r="AG47" s="228">
        <f t="shared" si="53"/>
        <v>0</v>
      </c>
      <c r="AH47" s="202">
        <f t="shared" si="54"/>
        <v>0</v>
      </c>
      <c r="AI47" s="202">
        <f t="shared" si="55"/>
        <v>0</v>
      </c>
      <c r="AJ47" s="203">
        <f t="shared" si="61"/>
        <v>1</v>
      </c>
      <c r="AK47" s="203">
        <f t="shared" si="56"/>
        <v>1</v>
      </c>
      <c r="AL47" s="203">
        <f t="shared" si="57"/>
        <v>1</v>
      </c>
      <c r="AM47" s="203">
        <f t="shared" si="62"/>
        <v>1</v>
      </c>
      <c r="AN47" s="209">
        <f t="shared" si="58"/>
        <v>0</v>
      </c>
      <c r="AO47" s="210"/>
      <c r="AP47" s="210"/>
      <c r="AQ47" s="210"/>
      <c r="AR47" s="210"/>
      <c r="AS47" s="210"/>
      <c r="AT47" s="210"/>
      <c r="AU47" s="210"/>
      <c r="AV47" s="210" t="s">
        <v>268</v>
      </c>
      <c r="AW47" s="210">
        <f t="shared" si="59"/>
        <v>0</v>
      </c>
      <c r="AX47" s="225">
        <f t="shared" si="60"/>
        <v>0</v>
      </c>
      <c r="AY47" s="209">
        <f t="shared" si="31"/>
        <v>0</v>
      </c>
      <c r="AZ47" s="210">
        <f t="shared" si="32"/>
        <v>0</v>
      </c>
      <c r="BA47" s="210">
        <f>INDEX(pin!$D$6:$T$42,MATCH(ΥΠΟΛΟΓΙΣΜΟΙ!AY47,pin!$B$6:$B$42,0),MATCH(ΥΠΟΛΟΓΙΣΜΟΙ!AW47,pin!$D$5:$T$5,0))+0.4*(AY47-AE47)*(INDEX(pin!$D$6:$T$42,MATCH(ΥΠΟΛΟΓΙΣΜΟΙ!AY47,pin!$B$6:$B$42,0),MATCH(ΥΠΟΛΟΓΙΣΜΟΙ!AW47,pin!$D$5:$T$5,0))-INDEX(pin!$D$6:$T$42,MATCH(ΥΠΟΛΟΓΙΣΜΟΙ!AZ47,pin!$B$6:$B$42,0),MATCH(ΥΠΟΛΟΓΙΣΜΟΙ!AW47,pin!$D$5:$T$5,0)))</f>
        <v>1</v>
      </c>
      <c r="BB47" s="225">
        <f>INDEX(pin!$D$6:$T$42,MATCH(ΥΠΟΛΟΓΙΣΜΟΙ!AY47,pin!$B$6:$B$42,0),MATCH(ΥΠΟΛΟΓΙΣΜΟΙ!AX47,pin!$D$5:$T$5,0))+0.4*(AY47-AE47)*(INDEX(pin!$D$6:$T$42,MATCH(ΥΠΟΛΟΓΙΣΜΟΙ!AY47,pin!$B$6:$B$42,0),MATCH(ΥΠΟΛΟΓΙΣΜΟΙ!AX47,pin!$D$5:$T$5,0))-INDEX(pin!$D$6:$T$42,MATCH(ΥΠΟΛΟΓΙΣΜΟΙ!AZ47,pin!$B$6:$B$42,0),MATCH(ΥΠΟΛΟΓΙΣΜΟΙ!AX47,pin!$D$5:$T$5,0)))</f>
        <v>1</v>
      </c>
      <c r="BC47" s="210">
        <f>INDEX(pin!$X$6:$AN$42,MATCH(ΥΠΟΛΟΓΙΣΜΟΙ!AY47,pin!$V$6:$V$42,0),MATCH(ΥΠΟΛΟΓΙΣΜΟΙ!AW47,pin!$X$5:$AN$5,0))+0.4*(AY47-AE47)*(INDEX(pin!$X$6:$AN$42,MATCH(ΥΠΟΛΟΓΙΣΜΟΙ!AY47,pin!$V$6:$V$42,0),MATCH(ΥΠΟΛΟΓΙΣΜΟΙ!AW47,pin!$X$5:$AN$5,0))-INDEX(pin!$X$6:$AN$42,MATCH(ΥΠΟΛΟΓΙΣΜΟΙ!AZ47,pin!$V$6:$V$42,0),MATCH(ΥΠΟΛΟΓΙΣΜΟΙ!AW47,pin!$X$5:$AN$5,0)))</f>
        <v>1</v>
      </c>
      <c r="BD47" s="210">
        <f>INDEX(pin!$X$6:$AN$42,MATCH(ΥΠΟΛΟΓΙΣΜΟΙ!AY47,pin!$V$6:$V$42,0),MATCH(ΥΠΟΛΟΓΙΣΜΟΙ!AX47,pin!$X$5:$AN$5,0))+0.4*(AY47-AE47)*(INDEX(pin!$X$6:$AN$42,MATCH(ΥΠΟΛΟΓΙΣΜΟΙ!AY47,pin!$V$6:$V$42,0),MATCH(ΥΠΟΛΟΓΙΣΜΟΙ!AX47,pin!$X$5:$AN$5,0))-INDEX(pin!$X$6:$AN$42,MATCH(ΥΠΟΛΟΓΙΣΜΟΙ!AZ47,pin!$V$6:$V$42,0),MATCH(ΥΠΟΛΟΓΙΣΜΟΙ!AX47,pin!$X$5:$AN$5,0)))</f>
        <v>1</v>
      </c>
      <c r="BE47" s="209">
        <f t="shared" si="33"/>
        <v>0</v>
      </c>
      <c r="BF47" s="210">
        <f t="shared" si="34"/>
        <v>0</v>
      </c>
      <c r="BG47" s="210">
        <f>INDEX(pin!$D$48:$T$84,MATCH(ΥΠΟΛΟΓΙΣΜΟΙ!BE47,pin!$B$48:$B$84,0),MATCH(ΥΠΟΛΟΓΙΣΜΟΙ!AW47,pin!$D$47:$T$47,0))+0.4*(BE47-AF47)*(INDEX(pin!$D$48:$T$84,MATCH(ΥΠΟΛΟΓΙΣΜΟΙ!BE47,pin!$B$48:$B$84,0),MATCH(ΥΠΟΛΟΓΙΣΜΟΙ!AW47,pin!$D$47:$T$47,0))-INDEX(pin!$D$48:$T$84,MATCH(ΥΠΟΛΟΓΙΣΜΟΙ!BF47,pin!$B$48:$B$84,0),MATCH(ΥΠΟΛΟΓΙΣΜΟΙ!AW47,pin!$D$47:$T$47,0)))</f>
        <v>1</v>
      </c>
      <c r="BH47" s="210">
        <f>INDEX(pin!$D$48:$T$84,MATCH(ΥΠΟΛΟΓΙΣΜΟΙ!BE47,pin!$B$48:$B$84,0),MATCH(ΥΠΟΛΟΓΙΣΜΟΙ!AX47,pin!$D$47:$T$47,0))+0.4*(BE47-AF47)*(INDEX(pin!$D$48:$T$84,MATCH(ΥΠΟΛΟΓΙΣΜΟΙ!BE47,pin!$B$48:$B$84,0),MATCH(ΥΠΟΛΟΓΙΣΜΟΙ!AX47,pin!$D$47:$T$47,0))-INDEX(pin!$D$48:$T$84,MATCH(ΥΠΟΛΟΓΙΣΜΟΙ!BF47,pin!$B$48:$B$84,0),MATCH(ΥΠΟΛΟΓΙΣΜΟΙ!AX47,pin!$D$47:$T$47,0)))</f>
        <v>1</v>
      </c>
      <c r="BI47" s="209">
        <f>INDEX(pin!$X$48:$AN$84,MATCH(ΥΠΟΛΟΓΙΣΜΟΙ!BE47,pin!$V$48:$V$84,0),MATCH(ΥΠΟΛΟΓΙΣΜΟΙ!AW47,pin!$X$47:$AN$47,0))+0.4*(BE47-AF47)*(INDEX(pin!$X$48:$AN$84,MATCH(ΥΠΟΛΟΓΙΣΜΟΙ!BE47,pin!$V$48:$V$84,0),MATCH(ΥΠΟΛΟΓΙΣΜΟΙ!AW47,pin!$X$47:$AN$47,0))-INDEX(pin!$X$48:$AN$84,MATCH(ΥΠΟΛΟΓΙΣΜΟΙ!BF47,pin!$V$48:$V$84,0),MATCH(ΥΠΟΛΟΓΙΣΜΟΙ!AW47,pin!$X$47:$AN$47,0)))</f>
        <v>1</v>
      </c>
      <c r="BJ47" s="225">
        <f>INDEX(pin!$X$48:$AN$84,MATCH(ΥΠΟΛΟΓΙΣΜΟΙ!BE47,pin!$V$48:$V$84,0),MATCH(ΥΠΟΛΟΓΙΣΜΟΙ!AX47,pin!$X$47:$AN$47,0))+0.4*(BE47-AF47)*(INDEX(pin!$X$48:$AN$84,MATCH(ΥΠΟΛΟΓΙΣΜΟΙ!BE47,pin!$V$48:$V$84,0),MATCH(ΥΠΟΛΟΓΙΣΜΟΙ!AX47,pin!$X$47:$AN$47,0))-INDEX(pin!$X$48:$AN$84,MATCH(ΥΠΟΛΟΓΙΣΜΟΙ!BF47,pin!$V$48:$V$84,0),MATCH(ΥΠΟΛΟΓΙΣΜΟΙ!AX47,pin!$X$47:$AN$47,0)))</f>
        <v>1</v>
      </c>
      <c r="BK47" s="209">
        <f t="shared" si="35"/>
        <v>0</v>
      </c>
      <c r="BL47" s="210">
        <f t="shared" si="36"/>
        <v>0</v>
      </c>
      <c r="BM47" s="210">
        <f>INDEX(pin!$X$48:$AN$84,MATCH(ΥΠΟΛΟΓΙΣΜΟΙ!BK47,pin!$V$48:$V$84,0),MATCH(ΥΠΟΛΟΓΙΣΜΟΙ!AW47,pin!$X$47:$AN$47,0))+0.4*(BK47-AG47)*(INDEX(pin!$X$48:$AN$84,MATCH(ΥΠΟΛΟΓΙΣΜΟΙ!BK47,pin!$V$48:$V$84,0),MATCH(ΥΠΟΛΟΓΙΣΜΟΙ!AW47,pin!$X$47:$AN$47,0))-INDEX(pin!$X$48:$AN$84,MATCH(ΥΠΟΛΟΓΙΣΜΟΙ!BL47,pin!$V$48:$V$84,0),MATCH(ΥΠΟΛΟΓΙΣΜΟΙ!AW47,pin!$X$47:$AN$47,0)))</f>
        <v>1</v>
      </c>
      <c r="BN47" s="225">
        <f>INDEX(pin!$X$48:$AN$84,MATCH(ΥΠΟΛΟΓΙΣΜΟΙ!BK47,pin!$V$48:$V$84,0),MATCH(ΥΠΟΛΟΓΙΣΜΟΙ!AX47,pin!$X$47:$AN$47,0))+0.4*(BK47-AG47)*(INDEX(pin!$X$48:$AN$84,MATCH(ΥΠΟΛΟΓΙΣΜΟΙ!BK47,pin!$V$48:$V$84,0),MATCH(ΥΠΟΛΟΓΙΣΜΟΙ!AX47,pin!$X$47:$AN$47,0))-INDEX(pin!$X$48:$AN$84,MATCH(ΥΠΟΛΟΓΙΣΜΟΙ!BL47,pin!$V$48:$V$84,0),MATCH(ΥΠΟΛΟΓΙΣΜΟΙ!AX47,pin!$X$47:$AN$47,0)))</f>
        <v>1</v>
      </c>
      <c r="BO47" s="209">
        <f t="shared" si="37"/>
        <v>0</v>
      </c>
      <c r="BP47" s="210">
        <f t="shared" si="38"/>
        <v>0</v>
      </c>
      <c r="BQ47" s="210">
        <f>INDEX(pin!$D$114:$T$132,MATCH(ΥΠΟΛΟΓΙΣΜΟΙ!BO47,pin!$B$114:$B$132,0),MATCH(ΥΠΟΛΟΓΙΣΜΟΙ!AW47,pin!$D$113:$T$113,0))+0.2*(BO47-AH47)*(INDEX(pin!$D$114:$T$132,MATCH(ΥΠΟΛΟΓΙΣΜΟΙ!BO47,pin!$B$114:$B$132,0),MATCH(ΥΠΟΛΟΓΙΣΜΟΙ!AW47,pin!$D$113:$T$113,0))-INDEX(pin!$D$114:$T$132,MATCH(ΥΠΟΛΟΓΙΣΜΟΙ!BP47,pin!$B$114:$B$132,0),MATCH(ΥΠΟΛΟΓΙΣΜΟΙ!AW47,pin!$D$113:$T$113,0)))</f>
        <v>1</v>
      </c>
      <c r="BR47" s="210">
        <f>INDEX(pin!$D$114:$T$132,MATCH(ΥΠΟΛΟΓΙΣΜΟΙ!BO47,pin!$B$114:$B$132,0),MATCH(ΥΠΟΛΟΓΙΣΜΟΙ!AX47,pin!$D$113:$T$113,0))+0.2*(BO47-AH47)*(INDEX(pin!$D$114:$T$132,MATCH(ΥΠΟΛΟΓΙΣΜΟΙ!BO47,pin!$B$114:$B$132,0),MATCH(ΥΠΟΛΟΓΙΣΜΟΙ!AX47,pin!$D$113:$T$113,0))-INDEX(pin!$D$114:$T$132,MATCH(ΥΠΟΛΟΓΙΣΜΟΙ!BP47,pin!$B$114:$B$132,0),MATCH(ΥΠΟΛΟΓΙΣΜΟΙ!AX47,pin!$D$113:$T$113,0)))</f>
        <v>1</v>
      </c>
      <c r="BS47" s="209">
        <f>INDEX(pin!$X$114:$AN$132,MATCH(ΥΠΟΛΟΓΙΣΜΟΙ!BO47,pin!$V$114:$V$132,0),MATCH(ΥΠΟΛΟΓΙΣΜΟΙ!AW47,pin!$X$113:$AN$113,0))+0.2*(BO47-AH47)*(INDEX(pin!$X$114:$AN$132,MATCH(ΥΠΟΛΟΓΙΣΜΟΙ!BO47,pin!$V$114:$V$132,0),MATCH(ΥΠΟΛΟΓΙΣΜΟΙ!AW47,pin!$X$113:$AN$113,0))-INDEX(pin!$X$114:$AN$132,MATCH(ΥΠΟΛΟΓΙΣΜΟΙ!BP47,pin!$V$114:$V$132,0),MATCH(ΥΠΟΛΟΓΙΣΜΟΙ!AW47,pin!$X$113:$AN$113,0)))</f>
        <v>1</v>
      </c>
      <c r="BT47" s="225">
        <f>INDEX(pin!$X$114:$AN$132,MATCH(ΥΠΟΛΟΓΙΣΜΟΙ!BO47,pin!$V$114:$V$132,0),MATCH(ΥΠΟΛΟΓΙΣΜΟΙ!AX47,pin!$X$113:$AN$113,0))+0.2*(BO47-AH47)*(INDEX(pin!$X$114:$AN$132,MATCH(ΥΠΟΛΟΓΙΣΜΟΙ!BO47,pin!$V$114:$V$132,0),MATCH(ΥΠΟΛΟΓΙΣΜΟΙ!AX47,pin!$X$113:$AN$113,0))-INDEX(pin!$X$114:$AN$132,MATCH(ΥΠΟΛΟΓΙΣΜΟΙ!BP47,pin!$V$114:$V$132,0),MATCH(ΥΠΟΛΟΓΙΣΜΟΙ!AX47,pin!$X$113:$AN$113,0)))</f>
        <v>1</v>
      </c>
      <c r="BU47" s="209">
        <f t="shared" si="39"/>
        <v>0</v>
      </c>
      <c r="BV47" s="210">
        <f t="shared" si="40"/>
        <v>0</v>
      </c>
      <c r="BW47" s="210">
        <f>INDEX(pin!$D$90:$T$108,MATCH(ΥΠΟΛΟΓΙΣΜΟΙ!BU47,pin!$B$90:$B$108,0),MATCH(ΥΠΟΛΟΓΙΣΜΟΙ!AW47,pin!$D$89:$T$89,0))+0.2*(BU47-AI47)*(INDEX(pin!$D$90:$T$108,MATCH(ΥΠΟΛΟΓΙΣΜΟΙ!BU47,pin!$B$90:$B$108,0),MATCH(ΥΠΟΛΟΓΙΣΜΟΙ!AW47,pin!$D$89:$T$89,0))-INDEX(pin!$D$90:$T$108,MATCH(ΥΠΟΛΟΓΙΣΜΟΙ!BV47,pin!$B$90:$B$108,0),MATCH(ΥΠΟΛΟΓΙΣΜΟΙ!AW47,pin!$D$89:$T$89,0)))</f>
        <v>1</v>
      </c>
      <c r="BX47" s="225">
        <f>INDEX(pin!$D$90:$T$108,MATCH(ΥΠΟΛΟΓΙΣΜΟΙ!BU47,pin!$B$90:$B$108,0),MATCH(ΥΠΟΛΟΓΙΣΜΟΙ!AX47,pin!$D$89:$T$89,0))+0.2*(BU47-AI47)*(INDEX(pin!$D$90:$T$108,MATCH(ΥΠΟΛΟΓΙΣΜΟΙ!BU47,pin!$B$90:$B$108,0),MATCH(ΥΠΟΛΟΓΙΣΜΟΙ!AX47,pin!$D$89:$T$89,0))-INDEX(pin!$D$90:$T$108,MATCH(ΥΠΟΛΟΓΙΣΜΟΙ!BV47,pin!$B$90:$B$108,0),MATCH(ΥΠΟΛΟΓΙΣΜΟΙ!AX47,pin!$D$89:$T$89,0)))</f>
        <v>1</v>
      </c>
      <c r="BY47" s="210">
        <f>INDEX(pin!$X$90:$AN$108,MATCH(ΥΠΟΛΟΓΙΣΜΟΙ!BU47,pin!$V$90:$V$108,0),MATCH(ΥΠΟΛΟΓΙΣΜΟΙ!AW47,pin!$X$89:$AN$89,0))+0.2*(BU47-AI47)*(INDEX(pin!$X$90:$AN$108,MATCH(ΥΠΟΛΟΓΙΣΜΟΙ!BU47,pin!$V$90:$V$108,0),MATCH(ΥΠΟΛΟΓΙΣΜΟΙ!AW47,pin!$X$89:$AN$89,0))-INDEX(pin!$X$90:$AN$108,MATCH(ΥΠΟΛΟΓΙΣΜΟΙ!BV47,pin!$V$90:$V$108,0),MATCH(ΥΠΟΛΟΓΙΣΜΟΙ!AW47,pin!$X$89:$AN$89,0)))</f>
        <v>1</v>
      </c>
      <c r="BZ47" s="225">
        <f>INDEX(pin!$X$90:$AN$108,MATCH(ΥΠΟΛΟΓΙΣΜΟΙ!BU47,pin!$V$90:$V$108,0),MATCH(ΥΠΟΛΟΓΙΣΜΟΙ!AX47,pin!$X$89:$AN$89,0))+0.2*(BU47-AI47)*(INDEX(pin!$X$90:$AN$108,MATCH(ΥΠΟΛΟΓΙΣΜΟΙ!BU47,pin!$V$90:$V$108,0),MATCH(ΥΠΟΛΟΓΙΣΜΟΙ!AX47,pin!$X$89:$AN$89,0))-INDEX(pin!$X$90:$AN$108,MATCH(ΥΠΟΛΟΓΙΣΜΟΙ!BV47,pin!$V$90:$V$108,0),MATCH(ΥΠΟΛΟΓΙΣΜΟΙ!AX47,pin!$X$89:$AN$89,0)))</f>
        <v>1</v>
      </c>
      <c r="CA47" s="211"/>
    </row>
    <row r="48" spans="1:79" s="34" customFormat="1">
      <c r="A48" s="56">
        <v>11</v>
      </c>
      <c r="B48" s="128"/>
      <c r="C48" s="126"/>
      <c r="D48" s="126"/>
      <c r="E48" s="126"/>
      <c r="F48" s="47" t="str">
        <f t="shared" si="41"/>
        <v>-</v>
      </c>
      <c r="G48" s="90" t="str">
        <f t="shared" si="42"/>
        <v>-</v>
      </c>
      <c r="H48" s="129"/>
      <c r="I48" s="129"/>
      <c r="J48" s="309" t="s">
        <v>653</v>
      </c>
      <c r="K48" s="133"/>
      <c r="L48" s="455"/>
      <c r="M48" s="454"/>
      <c r="N48" s="266"/>
      <c r="O48" s="46">
        <f t="shared" si="43"/>
        <v>1</v>
      </c>
      <c r="P48" s="130">
        <f t="shared" si="44"/>
        <v>1</v>
      </c>
      <c r="Q48" s="46">
        <f t="shared" si="45"/>
        <v>1</v>
      </c>
      <c r="R48" s="130">
        <f t="shared" si="46"/>
        <v>1</v>
      </c>
      <c r="S48" s="46">
        <f t="shared" si="47"/>
        <v>1</v>
      </c>
      <c r="T48" s="130">
        <f t="shared" si="48"/>
        <v>1</v>
      </c>
      <c r="U48" s="131"/>
      <c r="V48" s="134" t="str">
        <f t="shared" si="49"/>
        <v>-</v>
      </c>
      <c r="W48" s="126"/>
      <c r="X48" s="134" t="str">
        <f t="shared" si="50"/>
        <v>-</v>
      </c>
      <c r="Y48" s="170"/>
      <c r="Z48" s="132"/>
      <c r="AA48" s="126"/>
      <c r="AB48" s="126"/>
      <c r="AC48" s="131"/>
      <c r="AD48" s="127"/>
      <c r="AE48" s="226">
        <f t="shared" si="51"/>
        <v>0</v>
      </c>
      <c r="AF48" s="202">
        <f t="shared" si="52"/>
        <v>0</v>
      </c>
      <c r="AG48" s="228">
        <f t="shared" si="53"/>
        <v>0</v>
      </c>
      <c r="AH48" s="202">
        <f t="shared" si="54"/>
        <v>0</v>
      </c>
      <c r="AI48" s="202">
        <f t="shared" si="55"/>
        <v>0</v>
      </c>
      <c r="AJ48" s="203">
        <f t="shared" si="61"/>
        <v>1</v>
      </c>
      <c r="AK48" s="203">
        <f t="shared" si="56"/>
        <v>1</v>
      </c>
      <c r="AL48" s="203">
        <f t="shared" si="57"/>
        <v>1</v>
      </c>
      <c r="AM48" s="203">
        <f>BY48+0.0444*(H48-AW48)*(BZ48-BY48)</f>
        <v>1</v>
      </c>
      <c r="AN48" s="209">
        <f t="shared" si="58"/>
        <v>0</v>
      </c>
      <c r="AO48" s="210"/>
      <c r="AP48" s="210"/>
      <c r="AQ48" s="210"/>
      <c r="AR48" s="210"/>
      <c r="AS48" s="210"/>
      <c r="AT48" s="210"/>
      <c r="AU48" s="210"/>
      <c r="AV48" s="210" t="s">
        <v>268</v>
      </c>
      <c r="AW48" s="210">
        <f t="shared" si="59"/>
        <v>0</v>
      </c>
      <c r="AX48" s="225">
        <f t="shared" si="60"/>
        <v>0</v>
      </c>
      <c r="AY48" s="209">
        <f t="shared" si="31"/>
        <v>0</v>
      </c>
      <c r="AZ48" s="210">
        <f t="shared" si="32"/>
        <v>0</v>
      </c>
      <c r="BA48" s="210">
        <f>INDEX(pin!$D$6:$T$42,MATCH(ΥΠΟΛΟΓΙΣΜΟΙ!AY48,pin!$B$6:$B$42,0),MATCH(ΥΠΟΛΟΓΙΣΜΟΙ!AW48,pin!$D$5:$T$5,0))+0.4*(AY48-AE48)*(INDEX(pin!$D$6:$T$42,MATCH(ΥΠΟΛΟΓΙΣΜΟΙ!AY48,pin!$B$6:$B$42,0),MATCH(ΥΠΟΛΟΓΙΣΜΟΙ!AW48,pin!$D$5:$T$5,0))-INDEX(pin!$D$6:$T$42,MATCH(ΥΠΟΛΟΓΙΣΜΟΙ!AZ48,pin!$B$6:$B$42,0),MATCH(ΥΠΟΛΟΓΙΣΜΟΙ!AW48,pin!$D$5:$T$5,0)))</f>
        <v>1</v>
      </c>
      <c r="BB48" s="225">
        <f>INDEX(pin!$D$6:$T$42,MATCH(ΥΠΟΛΟΓΙΣΜΟΙ!AY48,pin!$B$6:$B$42,0),MATCH(ΥΠΟΛΟΓΙΣΜΟΙ!AX48,pin!$D$5:$T$5,0))+0.4*(AY48-AE48)*(INDEX(pin!$D$6:$T$42,MATCH(ΥΠΟΛΟΓΙΣΜΟΙ!AY48,pin!$B$6:$B$42,0),MATCH(ΥΠΟΛΟΓΙΣΜΟΙ!AX48,pin!$D$5:$T$5,0))-INDEX(pin!$D$6:$T$42,MATCH(ΥΠΟΛΟΓΙΣΜΟΙ!AZ48,pin!$B$6:$B$42,0),MATCH(ΥΠΟΛΟΓΙΣΜΟΙ!AX48,pin!$D$5:$T$5,0)))</f>
        <v>1</v>
      </c>
      <c r="BC48" s="210">
        <f>INDEX(pin!$X$6:$AN$42,MATCH(ΥΠΟΛΟΓΙΣΜΟΙ!AY48,pin!$V$6:$V$42,0),MATCH(ΥΠΟΛΟΓΙΣΜΟΙ!AW48,pin!$X$5:$AN$5,0))+0.4*(AY48-AE48)*(INDEX(pin!$X$6:$AN$42,MATCH(ΥΠΟΛΟΓΙΣΜΟΙ!AY48,pin!$V$6:$V$42,0),MATCH(ΥΠΟΛΟΓΙΣΜΟΙ!AW48,pin!$X$5:$AN$5,0))-INDEX(pin!$X$6:$AN$42,MATCH(ΥΠΟΛΟΓΙΣΜΟΙ!AZ48,pin!$V$6:$V$42,0),MATCH(ΥΠΟΛΟΓΙΣΜΟΙ!AW48,pin!$X$5:$AN$5,0)))</f>
        <v>1</v>
      </c>
      <c r="BD48" s="210">
        <f>INDEX(pin!$X$6:$AN$42,MATCH(ΥΠΟΛΟΓΙΣΜΟΙ!AY48,pin!$V$6:$V$42,0),MATCH(ΥΠΟΛΟΓΙΣΜΟΙ!AX48,pin!$X$5:$AN$5,0))+0.4*(AY48-AE48)*(INDEX(pin!$X$6:$AN$42,MATCH(ΥΠΟΛΟΓΙΣΜΟΙ!AY48,pin!$V$6:$V$42,0),MATCH(ΥΠΟΛΟΓΙΣΜΟΙ!AX48,pin!$X$5:$AN$5,0))-INDEX(pin!$X$6:$AN$42,MATCH(ΥΠΟΛΟΓΙΣΜΟΙ!AZ48,pin!$V$6:$V$42,0),MATCH(ΥΠΟΛΟΓΙΣΜΟΙ!AX48,pin!$X$5:$AN$5,0)))</f>
        <v>1</v>
      </c>
      <c r="BE48" s="209">
        <f t="shared" si="33"/>
        <v>0</v>
      </c>
      <c r="BF48" s="210">
        <f t="shared" si="34"/>
        <v>0</v>
      </c>
      <c r="BG48" s="210">
        <f>INDEX(pin!$D$48:$T$84,MATCH(ΥΠΟΛΟΓΙΣΜΟΙ!BE48,pin!$B$48:$B$84,0),MATCH(ΥΠΟΛΟΓΙΣΜΟΙ!AW48,pin!$D$47:$T$47,0))+0.4*(BE48-AF48)*(INDEX(pin!$D$48:$T$84,MATCH(ΥΠΟΛΟΓΙΣΜΟΙ!BE48,pin!$B$48:$B$84,0),MATCH(ΥΠΟΛΟΓΙΣΜΟΙ!AW48,pin!$D$47:$T$47,0))-INDEX(pin!$D$48:$T$84,MATCH(ΥΠΟΛΟΓΙΣΜΟΙ!BF48,pin!$B$48:$B$84,0),MATCH(ΥΠΟΛΟΓΙΣΜΟΙ!AW48,pin!$D$47:$T$47,0)))</f>
        <v>1</v>
      </c>
      <c r="BH48" s="210">
        <f>INDEX(pin!$D$48:$T$84,MATCH(ΥΠΟΛΟΓΙΣΜΟΙ!BE48,pin!$B$48:$B$84,0),MATCH(ΥΠΟΛΟΓΙΣΜΟΙ!AX48,pin!$D$47:$T$47,0))+0.4*(BE48-AF48)*(INDEX(pin!$D$48:$T$84,MATCH(ΥΠΟΛΟΓΙΣΜΟΙ!BE48,pin!$B$48:$B$84,0),MATCH(ΥΠΟΛΟΓΙΣΜΟΙ!AX48,pin!$D$47:$T$47,0))-INDEX(pin!$D$48:$T$84,MATCH(ΥΠΟΛΟΓΙΣΜΟΙ!BF48,pin!$B$48:$B$84,0),MATCH(ΥΠΟΛΟΓΙΣΜΟΙ!AX48,pin!$D$47:$T$47,0)))</f>
        <v>1</v>
      </c>
      <c r="BI48" s="209">
        <f>INDEX(pin!$X$48:$AN$84,MATCH(ΥΠΟΛΟΓΙΣΜΟΙ!BE48,pin!$V$48:$V$84,0),MATCH(ΥΠΟΛΟΓΙΣΜΟΙ!AW48,pin!$X$47:$AN$47,0))+0.4*(BE48-AF48)*(INDEX(pin!$X$48:$AN$84,MATCH(ΥΠΟΛΟΓΙΣΜΟΙ!BE48,pin!$V$48:$V$84,0),MATCH(ΥΠΟΛΟΓΙΣΜΟΙ!AW48,pin!$X$47:$AN$47,0))-INDEX(pin!$X$48:$AN$84,MATCH(ΥΠΟΛΟΓΙΣΜΟΙ!BF48,pin!$V$48:$V$84,0),MATCH(ΥΠΟΛΟΓΙΣΜΟΙ!AW48,pin!$X$47:$AN$47,0)))</f>
        <v>1</v>
      </c>
      <c r="BJ48" s="225">
        <f>INDEX(pin!$X$48:$AN$84,MATCH(ΥΠΟΛΟΓΙΣΜΟΙ!BE48,pin!$V$48:$V$84,0),MATCH(ΥΠΟΛΟΓΙΣΜΟΙ!AX48,pin!$X$47:$AN$47,0))+0.4*(BE48-AF48)*(INDEX(pin!$X$48:$AN$84,MATCH(ΥΠΟΛΟΓΙΣΜΟΙ!BE48,pin!$V$48:$V$84,0),MATCH(ΥΠΟΛΟΓΙΣΜΟΙ!AX48,pin!$X$47:$AN$47,0))-INDEX(pin!$X$48:$AN$84,MATCH(ΥΠΟΛΟΓΙΣΜΟΙ!BF48,pin!$V$48:$V$84,0),MATCH(ΥΠΟΛΟΓΙΣΜΟΙ!AX48,pin!$X$47:$AN$47,0)))</f>
        <v>1</v>
      </c>
      <c r="BK48" s="209">
        <f t="shared" si="35"/>
        <v>0</v>
      </c>
      <c r="BL48" s="210">
        <f t="shared" si="36"/>
        <v>0</v>
      </c>
      <c r="BM48" s="210">
        <f>INDEX(pin!$X$48:$AN$84,MATCH(ΥΠΟΛΟΓΙΣΜΟΙ!BK48,pin!$V$48:$V$84,0),MATCH(ΥΠΟΛΟΓΙΣΜΟΙ!AW48,pin!$X$47:$AN$47,0))+0.4*(BK48-AG48)*(INDEX(pin!$X$48:$AN$84,MATCH(ΥΠΟΛΟΓΙΣΜΟΙ!BK48,pin!$V$48:$V$84,0),MATCH(ΥΠΟΛΟΓΙΣΜΟΙ!AW48,pin!$X$47:$AN$47,0))-INDEX(pin!$X$48:$AN$84,MATCH(ΥΠΟΛΟΓΙΣΜΟΙ!BL48,pin!$V$48:$V$84,0),MATCH(ΥΠΟΛΟΓΙΣΜΟΙ!AW48,pin!$X$47:$AN$47,0)))</f>
        <v>1</v>
      </c>
      <c r="BN48" s="225">
        <f>INDEX(pin!$X$48:$AN$84,MATCH(ΥΠΟΛΟΓΙΣΜΟΙ!BK48,pin!$V$48:$V$84,0),MATCH(ΥΠΟΛΟΓΙΣΜΟΙ!AX48,pin!$X$47:$AN$47,0))+0.4*(BK48-AG48)*(INDEX(pin!$X$48:$AN$84,MATCH(ΥΠΟΛΟΓΙΣΜΟΙ!BK48,pin!$V$48:$V$84,0),MATCH(ΥΠΟΛΟΓΙΣΜΟΙ!AX48,pin!$X$47:$AN$47,0))-INDEX(pin!$X$48:$AN$84,MATCH(ΥΠΟΛΟΓΙΣΜΟΙ!BL48,pin!$V$48:$V$84,0),MATCH(ΥΠΟΛΟΓΙΣΜΟΙ!AX48,pin!$X$47:$AN$47,0)))</f>
        <v>1</v>
      </c>
      <c r="BO48" s="209">
        <f t="shared" si="37"/>
        <v>0</v>
      </c>
      <c r="BP48" s="210">
        <f t="shared" si="38"/>
        <v>0</v>
      </c>
      <c r="BQ48" s="210">
        <f>INDEX(pin!$D$114:$T$132,MATCH(ΥΠΟΛΟΓΙΣΜΟΙ!BO48,pin!$B$114:$B$132,0),MATCH(ΥΠΟΛΟΓΙΣΜΟΙ!AW48,pin!$D$113:$T$113,0))+0.2*(BO48-AH48)*(INDEX(pin!$D$114:$T$132,MATCH(ΥΠΟΛΟΓΙΣΜΟΙ!BO48,pin!$B$114:$B$132,0),MATCH(ΥΠΟΛΟΓΙΣΜΟΙ!AW48,pin!$D$113:$T$113,0))-INDEX(pin!$D$114:$T$132,MATCH(ΥΠΟΛΟΓΙΣΜΟΙ!BP48,pin!$B$114:$B$132,0),MATCH(ΥΠΟΛΟΓΙΣΜΟΙ!AW48,pin!$D$113:$T$113,0)))</f>
        <v>1</v>
      </c>
      <c r="BR48" s="210">
        <f>INDEX(pin!$D$114:$T$132,MATCH(ΥΠΟΛΟΓΙΣΜΟΙ!BO48,pin!$B$114:$B$132,0),MATCH(ΥΠΟΛΟΓΙΣΜΟΙ!AX48,pin!$D$113:$T$113,0))+0.2*(BO48-AH48)*(INDEX(pin!$D$114:$T$132,MATCH(ΥΠΟΛΟΓΙΣΜΟΙ!BO48,pin!$B$114:$B$132,0),MATCH(ΥΠΟΛΟΓΙΣΜΟΙ!AX48,pin!$D$113:$T$113,0))-INDEX(pin!$D$114:$T$132,MATCH(ΥΠΟΛΟΓΙΣΜΟΙ!BP48,pin!$B$114:$B$132,0),MATCH(ΥΠΟΛΟΓΙΣΜΟΙ!AX48,pin!$D$113:$T$113,0)))</f>
        <v>1</v>
      </c>
      <c r="BS48" s="209">
        <f>INDEX(pin!$X$114:$AN$132,MATCH(ΥΠΟΛΟΓΙΣΜΟΙ!BO48,pin!$V$114:$V$132,0),MATCH(ΥΠΟΛΟΓΙΣΜΟΙ!AW48,pin!$X$113:$AN$113,0))+0.2*(BO48-AH48)*(INDEX(pin!$X$114:$AN$132,MATCH(ΥΠΟΛΟΓΙΣΜΟΙ!BO48,pin!$V$114:$V$132,0),MATCH(ΥΠΟΛΟΓΙΣΜΟΙ!AW48,pin!$X$113:$AN$113,0))-INDEX(pin!$X$114:$AN$132,MATCH(ΥΠΟΛΟΓΙΣΜΟΙ!BP48,pin!$V$114:$V$132,0),MATCH(ΥΠΟΛΟΓΙΣΜΟΙ!AW48,pin!$X$113:$AN$113,0)))</f>
        <v>1</v>
      </c>
      <c r="BT48" s="225">
        <f>INDEX(pin!$X$114:$AN$132,MATCH(ΥΠΟΛΟΓΙΣΜΟΙ!BO48,pin!$V$114:$V$132,0),MATCH(ΥΠΟΛΟΓΙΣΜΟΙ!AX48,pin!$X$113:$AN$113,0))+0.2*(BO48-AH48)*(INDEX(pin!$X$114:$AN$132,MATCH(ΥΠΟΛΟΓΙΣΜΟΙ!BO48,pin!$V$114:$V$132,0),MATCH(ΥΠΟΛΟΓΙΣΜΟΙ!AX48,pin!$X$113:$AN$113,0))-INDEX(pin!$X$114:$AN$132,MATCH(ΥΠΟΛΟΓΙΣΜΟΙ!BP48,pin!$V$114:$V$132,0),MATCH(ΥΠΟΛΟΓΙΣΜΟΙ!AX48,pin!$X$113:$AN$113,0)))</f>
        <v>1</v>
      </c>
      <c r="BU48" s="209">
        <f t="shared" si="39"/>
        <v>0</v>
      </c>
      <c r="BV48" s="210">
        <f t="shared" si="40"/>
        <v>0</v>
      </c>
      <c r="BW48" s="210">
        <f>INDEX(pin!$D$90:$T$108,MATCH(ΥΠΟΛΟΓΙΣΜΟΙ!BU48,pin!$B$90:$B$108,0),MATCH(ΥΠΟΛΟΓΙΣΜΟΙ!AW48,pin!$D$89:$T$89,0))+0.2*(BU48-AI48)*(INDEX(pin!$D$90:$T$108,MATCH(ΥΠΟΛΟΓΙΣΜΟΙ!BU48,pin!$B$90:$B$108,0),MATCH(ΥΠΟΛΟΓΙΣΜΟΙ!AW48,pin!$D$89:$T$89,0))-INDEX(pin!$D$90:$T$108,MATCH(ΥΠΟΛΟΓΙΣΜΟΙ!BV48,pin!$B$90:$B$108,0),MATCH(ΥΠΟΛΟΓΙΣΜΟΙ!AW48,pin!$D$89:$T$89,0)))</f>
        <v>1</v>
      </c>
      <c r="BX48" s="225">
        <f>INDEX(pin!$D$90:$T$108,MATCH(ΥΠΟΛΟΓΙΣΜΟΙ!BU48,pin!$B$90:$B$108,0),MATCH(ΥΠΟΛΟΓΙΣΜΟΙ!AX48,pin!$D$89:$T$89,0))+0.2*(BU48-AI48)*(INDEX(pin!$D$90:$T$108,MATCH(ΥΠΟΛΟΓΙΣΜΟΙ!BU48,pin!$B$90:$B$108,0),MATCH(ΥΠΟΛΟΓΙΣΜΟΙ!AX48,pin!$D$89:$T$89,0))-INDEX(pin!$D$90:$T$108,MATCH(ΥΠΟΛΟΓΙΣΜΟΙ!BV48,pin!$B$90:$B$108,0),MATCH(ΥΠΟΛΟΓΙΣΜΟΙ!AX48,pin!$D$89:$T$89,0)))</f>
        <v>1</v>
      </c>
      <c r="BY48" s="210">
        <f>INDEX(pin!$X$90:$AN$108,MATCH(ΥΠΟΛΟΓΙΣΜΟΙ!BU48,pin!$V$90:$V$108,0),MATCH(ΥΠΟΛΟΓΙΣΜΟΙ!AW48,pin!$X$89:$AN$89,0))+0.2*(BU48-AI48)*(INDEX(pin!$X$90:$AN$108,MATCH(ΥΠΟΛΟΓΙΣΜΟΙ!BU48,pin!$V$90:$V$108,0),MATCH(ΥΠΟΛΟΓΙΣΜΟΙ!AW48,pin!$X$89:$AN$89,0))-INDEX(pin!$X$90:$AN$108,MATCH(ΥΠΟΛΟΓΙΣΜΟΙ!BV48,pin!$V$90:$V$108,0),MATCH(ΥΠΟΛΟΓΙΣΜΟΙ!AW48,pin!$X$89:$AN$89,0)))</f>
        <v>1</v>
      </c>
      <c r="BZ48" s="225">
        <f>INDEX(pin!$X$90:$AN$108,MATCH(ΥΠΟΛΟΓΙΣΜΟΙ!BU48,pin!$V$90:$V$108,0),MATCH(ΥΠΟΛΟΓΙΣΜΟΙ!AX48,pin!$X$89:$AN$89,0))+0.2*(BU48-AI48)*(INDEX(pin!$X$90:$AN$108,MATCH(ΥΠΟΛΟΓΙΣΜΟΙ!BU48,pin!$V$90:$V$108,0),MATCH(ΥΠΟΛΟΓΙΣΜΟΙ!AX48,pin!$X$89:$AN$89,0))-INDEX(pin!$X$90:$AN$108,MATCH(ΥΠΟΛΟΓΙΣΜΟΙ!BV48,pin!$V$90:$V$108,0),MATCH(ΥΠΟΛΟΓΙΣΜΟΙ!AX48,pin!$X$89:$AN$89,0)))</f>
        <v>1</v>
      </c>
      <c r="CA48" s="211"/>
    </row>
    <row r="49" spans="1:79" s="34" customFormat="1">
      <c r="A49" s="56">
        <v>12</v>
      </c>
      <c r="B49" s="128"/>
      <c r="C49" s="126"/>
      <c r="D49" s="126"/>
      <c r="E49" s="126"/>
      <c r="F49" s="47" t="str">
        <f t="shared" si="41"/>
        <v>-</v>
      </c>
      <c r="G49" s="90" t="str">
        <f t="shared" si="42"/>
        <v>-</v>
      </c>
      <c r="H49" s="129"/>
      <c r="I49" s="129"/>
      <c r="J49" s="309" t="s">
        <v>653</v>
      </c>
      <c r="K49" s="133"/>
      <c r="L49" s="455"/>
      <c r="M49" s="454"/>
      <c r="N49" s="266"/>
      <c r="O49" s="46">
        <f t="shared" si="43"/>
        <v>1</v>
      </c>
      <c r="P49" s="130">
        <f t="shared" si="44"/>
        <v>1</v>
      </c>
      <c r="Q49" s="46">
        <f t="shared" si="45"/>
        <v>1</v>
      </c>
      <c r="R49" s="130">
        <f t="shared" si="46"/>
        <v>1</v>
      </c>
      <c r="S49" s="46">
        <f t="shared" si="47"/>
        <v>1</v>
      </c>
      <c r="T49" s="130">
        <f t="shared" si="48"/>
        <v>1</v>
      </c>
      <c r="U49" s="131"/>
      <c r="V49" s="134" t="str">
        <f t="shared" si="49"/>
        <v>-</v>
      </c>
      <c r="W49" s="126"/>
      <c r="X49" s="134" t="str">
        <f t="shared" si="50"/>
        <v>-</v>
      </c>
      <c r="Y49" s="170"/>
      <c r="Z49" s="132"/>
      <c r="AA49" s="126"/>
      <c r="AB49" s="126"/>
      <c r="AC49" s="131"/>
      <c r="AD49" s="127"/>
      <c r="AE49" s="232">
        <f t="shared" si="51"/>
        <v>0</v>
      </c>
      <c r="AF49" s="204">
        <f t="shared" si="52"/>
        <v>0</v>
      </c>
      <c r="AG49" s="204">
        <f t="shared" si="53"/>
        <v>0</v>
      </c>
      <c r="AH49" s="204">
        <f t="shared" si="54"/>
        <v>0</v>
      </c>
      <c r="AI49" s="204">
        <f t="shared" si="55"/>
        <v>0</v>
      </c>
      <c r="AJ49" s="205">
        <f t="shared" si="61"/>
        <v>1</v>
      </c>
      <c r="AK49" s="205">
        <f t="shared" si="56"/>
        <v>1</v>
      </c>
      <c r="AL49" s="205">
        <f t="shared" si="57"/>
        <v>1</v>
      </c>
      <c r="AM49" s="205">
        <f t="shared" si="62"/>
        <v>1</v>
      </c>
      <c r="AN49" s="229">
        <f t="shared" si="58"/>
        <v>0</v>
      </c>
      <c r="AO49" s="230"/>
      <c r="AP49" s="230"/>
      <c r="AQ49" s="230"/>
      <c r="AR49" s="230"/>
      <c r="AS49" s="230"/>
      <c r="AT49" s="230"/>
      <c r="AU49" s="230"/>
      <c r="AV49" s="230" t="s">
        <v>268</v>
      </c>
      <c r="AW49" s="230">
        <f t="shared" si="59"/>
        <v>0</v>
      </c>
      <c r="AX49" s="231">
        <f t="shared" si="60"/>
        <v>0</v>
      </c>
      <c r="AY49" s="229">
        <f t="shared" si="31"/>
        <v>0</v>
      </c>
      <c r="AZ49" s="230">
        <f t="shared" si="32"/>
        <v>0</v>
      </c>
      <c r="BA49" s="230">
        <f>INDEX(pin!$D$6:$T$42,MATCH(ΥΠΟΛΟΓΙΣΜΟΙ!AY49,pin!$B$6:$B$42,0),MATCH(ΥΠΟΛΟΓΙΣΜΟΙ!AW49,pin!$D$5:$T$5,0))+0.4*(AY49-AE49)*(INDEX(pin!$D$6:$T$42,MATCH(ΥΠΟΛΟΓΙΣΜΟΙ!AY49,pin!$B$6:$B$42,0),MATCH(ΥΠΟΛΟΓΙΣΜΟΙ!AW49,pin!$D$5:$T$5,0))-INDEX(pin!$D$6:$T$42,MATCH(ΥΠΟΛΟΓΙΣΜΟΙ!AZ49,pin!$B$6:$B$42,0),MATCH(ΥΠΟΛΟΓΙΣΜΟΙ!AW49,pin!$D$5:$T$5,0)))</f>
        <v>1</v>
      </c>
      <c r="BB49" s="231">
        <f>INDEX(pin!$D$6:$T$42,MATCH(ΥΠΟΛΟΓΙΣΜΟΙ!AY49,pin!$B$6:$B$42,0),MATCH(ΥΠΟΛΟΓΙΣΜΟΙ!AX49,pin!$D$5:$T$5,0))+0.4*(AY49-AE49)*(INDEX(pin!$D$6:$T$42,MATCH(ΥΠΟΛΟΓΙΣΜΟΙ!AY49,pin!$B$6:$B$42,0),MATCH(ΥΠΟΛΟΓΙΣΜΟΙ!AX49,pin!$D$5:$T$5,0))-INDEX(pin!$D$6:$T$42,MATCH(ΥΠΟΛΟΓΙΣΜΟΙ!AZ49,pin!$B$6:$B$42,0),MATCH(ΥΠΟΛΟΓΙΣΜΟΙ!AX49,pin!$D$5:$T$5,0)))</f>
        <v>1</v>
      </c>
      <c r="BC49" s="230">
        <f>INDEX(pin!$X$6:$AN$42,MATCH(ΥΠΟΛΟΓΙΣΜΟΙ!AY49,pin!$V$6:$V$42,0),MATCH(ΥΠΟΛΟΓΙΣΜΟΙ!AW49,pin!$X$5:$AN$5,0))+0.4*(AY49-AE49)*(INDEX(pin!$X$6:$AN$42,MATCH(ΥΠΟΛΟΓΙΣΜΟΙ!AY49,pin!$V$6:$V$42,0),MATCH(ΥΠΟΛΟΓΙΣΜΟΙ!AW49,pin!$X$5:$AN$5,0))-INDEX(pin!$X$6:$AN$42,MATCH(ΥΠΟΛΟΓΙΣΜΟΙ!AZ49,pin!$V$6:$V$42,0),MATCH(ΥΠΟΛΟΓΙΣΜΟΙ!AW49,pin!$X$5:$AN$5,0)))</f>
        <v>1</v>
      </c>
      <c r="BD49" s="230">
        <f>INDEX(pin!$X$6:$AN$42,MATCH(ΥΠΟΛΟΓΙΣΜΟΙ!AY49,pin!$V$6:$V$42,0),MATCH(ΥΠΟΛΟΓΙΣΜΟΙ!AX49,pin!$X$5:$AN$5,0))+0.4*(AY49-AE49)*(INDEX(pin!$X$6:$AN$42,MATCH(ΥΠΟΛΟΓΙΣΜΟΙ!AY49,pin!$V$6:$V$42,0),MATCH(ΥΠΟΛΟΓΙΣΜΟΙ!AX49,pin!$X$5:$AN$5,0))-INDEX(pin!$X$6:$AN$42,MATCH(ΥΠΟΛΟΓΙΣΜΟΙ!AZ49,pin!$V$6:$V$42,0),MATCH(ΥΠΟΛΟΓΙΣΜΟΙ!AX49,pin!$X$5:$AN$5,0)))</f>
        <v>1</v>
      </c>
      <c r="BE49" s="229">
        <f t="shared" si="33"/>
        <v>0</v>
      </c>
      <c r="BF49" s="230">
        <f t="shared" si="34"/>
        <v>0</v>
      </c>
      <c r="BG49" s="230">
        <f>INDEX(pin!$D$48:$T$84,MATCH(ΥΠΟΛΟΓΙΣΜΟΙ!BE49,pin!$B$48:$B$84,0),MATCH(ΥΠΟΛΟΓΙΣΜΟΙ!AW49,pin!$D$47:$T$47,0))+0.4*(BE49-AF49)*(INDEX(pin!$D$48:$T$84,MATCH(ΥΠΟΛΟΓΙΣΜΟΙ!BE49,pin!$B$48:$B$84,0),MATCH(ΥΠΟΛΟΓΙΣΜΟΙ!AW49,pin!$D$47:$T$47,0))-INDEX(pin!$D$48:$T$84,MATCH(ΥΠΟΛΟΓΙΣΜΟΙ!BF49,pin!$B$48:$B$84,0),MATCH(ΥΠΟΛΟΓΙΣΜΟΙ!AW49,pin!$D$47:$T$47,0)))</f>
        <v>1</v>
      </c>
      <c r="BH49" s="230">
        <f>INDEX(pin!$D$48:$T$84,MATCH(ΥΠΟΛΟΓΙΣΜΟΙ!BE49,pin!$B$48:$B$84,0),MATCH(ΥΠΟΛΟΓΙΣΜΟΙ!AX49,pin!$D$47:$T$47,0))+0.4*(BE49-AF49)*(INDEX(pin!$D$48:$T$84,MATCH(ΥΠΟΛΟΓΙΣΜΟΙ!BE49,pin!$B$48:$B$84,0),MATCH(ΥΠΟΛΟΓΙΣΜΟΙ!AX49,pin!$D$47:$T$47,0))-INDEX(pin!$D$48:$T$84,MATCH(ΥΠΟΛΟΓΙΣΜΟΙ!BF49,pin!$B$48:$B$84,0),MATCH(ΥΠΟΛΟΓΙΣΜΟΙ!AX49,pin!$D$47:$T$47,0)))</f>
        <v>1</v>
      </c>
      <c r="BI49" s="229">
        <f>INDEX(pin!$X$48:$AN$84,MATCH(ΥΠΟΛΟΓΙΣΜΟΙ!BE49,pin!$V$48:$V$84,0),MATCH(ΥΠΟΛΟΓΙΣΜΟΙ!AW49,pin!$X$47:$AN$47,0))+0.4*(BE49-AF49)*(INDEX(pin!$X$48:$AN$84,MATCH(ΥΠΟΛΟΓΙΣΜΟΙ!BE49,pin!$V$48:$V$84,0),MATCH(ΥΠΟΛΟΓΙΣΜΟΙ!AW49,pin!$X$47:$AN$47,0))-INDEX(pin!$X$48:$AN$84,MATCH(ΥΠΟΛΟΓΙΣΜΟΙ!BF49,pin!$V$48:$V$84,0),MATCH(ΥΠΟΛΟΓΙΣΜΟΙ!AW49,pin!$X$47:$AN$47,0)))</f>
        <v>1</v>
      </c>
      <c r="BJ49" s="231">
        <f>INDEX(pin!$X$48:$AN$84,MATCH(ΥΠΟΛΟΓΙΣΜΟΙ!BE49,pin!$V$48:$V$84,0),MATCH(ΥΠΟΛΟΓΙΣΜΟΙ!AX49,pin!$X$47:$AN$47,0))+0.4*(BE49-AF49)*(INDEX(pin!$X$48:$AN$84,MATCH(ΥΠΟΛΟΓΙΣΜΟΙ!BE49,pin!$V$48:$V$84,0),MATCH(ΥΠΟΛΟΓΙΣΜΟΙ!AX49,pin!$X$47:$AN$47,0))-INDEX(pin!$X$48:$AN$84,MATCH(ΥΠΟΛΟΓΙΣΜΟΙ!BF49,pin!$V$48:$V$84,0),MATCH(ΥΠΟΛΟΓΙΣΜΟΙ!AX49,pin!$X$47:$AN$47,0)))</f>
        <v>1</v>
      </c>
      <c r="BK49" s="229">
        <f t="shared" si="35"/>
        <v>0</v>
      </c>
      <c r="BL49" s="230">
        <f t="shared" si="36"/>
        <v>0</v>
      </c>
      <c r="BM49" s="230">
        <f>INDEX(pin!$X$48:$AN$84,MATCH(ΥΠΟΛΟΓΙΣΜΟΙ!BK49,pin!$V$48:$V$84,0),MATCH(ΥΠΟΛΟΓΙΣΜΟΙ!AW49,pin!$X$47:$AN$47,0))+0.4*(BK49-AG49)*(INDEX(pin!$X$48:$AN$84,MATCH(ΥΠΟΛΟΓΙΣΜΟΙ!BK49,pin!$V$48:$V$84,0),MATCH(ΥΠΟΛΟΓΙΣΜΟΙ!AW49,pin!$X$47:$AN$47,0))-INDEX(pin!$X$48:$AN$84,MATCH(ΥΠΟΛΟΓΙΣΜΟΙ!BL49,pin!$V$48:$V$84,0),MATCH(ΥΠΟΛΟΓΙΣΜΟΙ!AW49,pin!$X$47:$AN$47,0)))</f>
        <v>1</v>
      </c>
      <c r="BN49" s="231">
        <f>INDEX(pin!$X$48:$AN$84,MATCH(ΥΠΟΛΟΓΙΣΜΟΙ!BK49,pin!$V$48:$V$84,0),MATCH(ΥΠΟΛΟΓΙΣΜΟΙ!AX49,pin!$X$47:$AN$47,0))+0.4*(BK49-AG49)*(INDEX(pin!$X$48:$AN$84,MATCH(ΥΠΟΛΟΓΙΣΜΟΙ!BK49,pin!$V$48:$V$84,0),MATCH(ΥΠΟΛΟΓΙΣΜΟΙ!AX49,pin!$X$47:$AN$47,0))-INDEX(pin!$X$48:$AN$84,MATCH(ΥΠΟΛΟΓΙΣΜΟΙ!BL49,pin!$V$48:$V$84,0),MATCH(ΥΠΟΛΟΓΙΣΜΟΙ!AX49,pin!$X$47:$AN$47,0)))</f>
        <v>1</v>
      </c>
      <c r="BO49" s="229">
        <f t="shared" si="37"/>
        <v>0</v>
      </c>
      <c r="BP49" s="230">
        <f t="shared" si="38"/>
        <v>0</v>
      </c>
      <c r="BQ49" s="230">
        <f>INDEX(pin!$D$114:$T$132,MATCH(ΥΠΟΛΟΓΙΣΜΟΙ!BO49,pin!$B$114:$B$132,0),MATCH(ΥΠΟΛΟΓΙΣΜΟΙ!AW49,pin!$D$113:$T$113,0))+0.2*(BO49-AH49)*(INDEX(pin!$D$114:$T$132,MATCH(ΥΠΟΛΟΓΙΣΜΟΙ!BO49,pin!$B$114:$B$132,0),MATCH(ΥΠΟΛΟΓΙΣΜΟΙ!AW49,pin!$D$113:$T$113,0))-INDEX(pin!$D$114:$T$132,MATCH(ΥΠΟΛΟΓΙΣΜΟΙ!BP49,pin!$B$114:$B$132,0),MATCH(ΥΠΟΛΟΓΙΣΜΟΙ!AW49,pin!$D$113:$T$113,0)))</f>
        <v>1</v>
      </c>
      <c r="BR49" s="230">
        <f>INDEX(pin!$D$114:$T$132,MATCH(ΥΠΟΛΟΓΙΣΜΟΙ!BO49,pin!$B$114:$B$132,0),MATCH(ΥΠΟΛΟΓΙΣΜΟΙ!AX49,pin!$D$113:$T$113,0))+0.2*(BO49-AH49)*(INDEX(pin!$D$114:$T$132,MATCH(ΥΠΟΛΟΓΙΣΜΟΙ!BO49,pin!$B$114:$B$132,0),MATCH(ΥΠΟΛΟΓΙΣΜΟΙ!AX49,pin!$D$113:$T$113,0))-INDEX(pin!$D$114:$T$132,MATCH(ΥΠΟΛΟΓΙΣΜΟΙ!BP49,pin!$B$114:$B$132,0),MATCH(ΥΠΟΛΟΓΙΣΜΟΙ!AX49,pin!$D$113:$T$113,0)))</f>
        <v>1</v>
      </c>
      <c r="BS49" s="229">
        <f>INDEX(pin!$X$114:$AN$132,MATCH(ΥΠΟΛΟΓΙΣΜΟΙ!BO49,pin!$V$114:$V$132,0),MATCH(ΥΠΟΛΟΓΙΣΜΟΙ!AW49,pin!$X$113:$AN$113,0))+0.2*(BO49-AH49)*(INDEX(pin!$X$114:$AN$132,MATCH(ΥΠΟΛΟΓΙΣΜΟΙ!BO49,pin!$V$114:$V$132,0),MATCH(ΥΠΟΛΟΓΙΣΜΟΙ!AW49,pin!$X$113:$AN$113,0))-INDEX(pin!$X$114:$AN$132,MATCH(ΥΠΟΛΟΓΙΣΜΟΙ!BP49,pin!$V$114:$V$132,0),MATCH(ΥΠΟΛΟΓΙΣΜΟΙ!AW49,pin!$X$113:$AN$113,0)))</f>
        <v>1</v>
      </c>
      <c r="BT49" s="231">
        <f>INDEX(pin!$X$114:$AN$132,MATCH(ΥΠΟΛΟΓΙΣΜΟΙ!BO49,pin!$V$114:$V$132,0),MATCH(ΥΠΟΛΟΓΙΣΜΟΙ!AX49,pin!$X$113:$AN$113,0))+0.2*(BO49-AH49)*(INDEX(pin!$X$114:$AN$132,MATCH(ΥΠΟΛΟΓΙΣΜΟΙ!BO49,pin!$V$114:$V$132,0),MATCH(ΥΠΟΛΟΓΙΣΜΟΙ!AX49,pin!$X$113:$AN$113,0))-INDEX(pin!$X$114:$AN$132,MATCH(ΥΠΟΛΟΓΙΣΜΟΙ!BP49,pin!$V$114:$V$132,0),MATCH(ΥΠΟΛΟΓΙΣΜΟΙ!AX49,pin!$X$113:$AN$113,0)))</f>
        <v>1</v>
      </c>
      <c r="BU49" s="229">
        <f t="shared" si="39"/>
        <v>0</v>
      </c>
      <c r="BV49" s="230">
        <f t="shared" si="40"/>
        <v>0</v>
      </c>
      <c r="BW49" s="230">
        <f>INDEX(pin!$D$90:$T$108,MATCH(ΥΠΟΛΟΓΙΣΜΟΙ!BU49,pin!$B$90:$B$108,0),MATCH(ΥΠΟΛΟΓΙΣΜΟΙ!AW49,pin!$D$89:$T$89,0))+0.2*(BU49-AI49)*(INDEX(pin!$D$90:$T$108,MATCH(ΥΠΟΛΟΓΙΣΜΟΙ!BU49,pin!$B$90:$B$108,0),MATCH(ΥΠΟΛΟΓΙΣΜΟΙ!AW49,pin!$D$89:$T$89,0))-INDEX(pin!$D$90:$T$108,MATCH(ΥΠΟΛΟΓΙΣΜΟΙ!BV49,pin!$B$90:$B$108,0),MATCH(ΥΠΟΛΟΓΙΣΜΟΙ!AW49,pin!$D$89:$T$89,0)))</f>
        <v>1</v>
      </c>
      <c r="BX49" s="231">
        <f>INDEX(pin!$D$90:$T$108,MATCH(ΥΠΟΛΟΓΙΣΜΟΙ!BU49,pin!$B$90:$B$108,0),MATCH(ΥΠΟΛΟΓΙΣΜΟΙ!AX49,pin!$D$89:$T$89,0))+0.2*(BU49-AI49)*(INDEX(pin!$D$90:$T$108,MATCH(ΥΠΟΛΟΓΙΣΜΟΙ!BU49,pin!$B$90:$B$108,0),MATCH(ΥΠΟΛΟΓΙΣΜΟΙ!AX49,pin!$D$89:$T$89,0))-INDEX(pin!$D$90:$T$108,MATCH(ΥΠΟΛΟΓΙΣΜΟΙ!BV49,pin!$B$90:$B$108,0),MATCH(ΥΠΟΛΟΓΙΣΜΟΙ!AX49,pin!$D$89:$T$89,0)))</f>
        <v>1</v>
      </c>
      <c r="BY49" s="230">
        <f>INDEX(pin!$X$90:$AN$108,MATCH(ΥΠΟΛΟΓΙΣΜΟΙ!BU49,pin!$V$90:$V$108,0),MATCH(ΥΠΟΛΟΓΙΣΜΟΙ!AW49,pin!$X$89:$AN$89,0))+0.2*(BU49-AI49)*(INDEX(pin!$X$90:$AN$108,MATCH(ΥΠΟΛΟΓΙΣΜΟΙ!BU49,pin!$V$90:$V$108,0),MATCH(ΥΠΟΛΟΓΙΣΜΟΙ!AW49,pin!$X$89:$AN$89,0))-INDEX(pin!$X$90:$AN$108,MATCH(ΥΠΟΛΟΓΙΣΜΟΙ!BV49,pin!$V$90:$V$108,0),MATCH(ΥΠΟΛΟΓΙΣΜΟΙ!AW49,pin!$X$89:$AN$89,0)))</f>
        <v>1</v>
      </c>
      <c r="BZ49" s="231">
        <f>INDEX(pin!$X$90:$AN$108,MATCH(ΥΠΟΛΟΓΙΣΜΟΙ!BU49,pin!$V$90:$V$108,0),MATCH(ΥΠΟΛΟΓΙΣΜΟΙ!AX49,pin!$X$89:$AN$89,0))+0.2*(BU49-AI49)*(INDEX(pin!$X$90:$AN$108,MATCH(ΥΠΟΛΟΓΙΣΜΟΙ!BU49,pin!$V$90:$V$108,0),MATCH(ΥΠΟΛΟΓΙΣΜΟΙ!AX49,pin!$X$89:$AN$89,0))-INDEX(pin!$X$90:$AN$108,MATCH(ΥΠΟΛΟΓΙΣΜΟΙ!BV49,pin!$V$90:$V$108,0),MATCH(ΥΠΟΛΟΓΙΣΜΟΙ!AX49,pin!$X$89:$AN$89,0)))</f>
        <v>1</v>
      </c>
      <c r="CA49" s="211"/>
    </row>
    <row r="50" spans="1:79" s="34" customFormat="1">
      <c r="A50" s="56"/>
      <c r="B50" s="45"/>
      <c r="C50" s="46"/>
      <c r="D50" s="46"/>
      <c r="E50" s="46"/>
      <c r="F50" s="47"/>
      <c r="G50" s="48"/>
      <c r="H50" s="49"/>
      <c r="I50" s="49"/>
      <c r="J50" s="50"/>
      <c r="K50" s="51"/>
      <c r="L50" s="52"/>
      <c r="M50" s="674" t="str">
        <f>IF($N$8="κτιριακη μοναδα","     ↑  [επαφή με ΜΘΧ: 0,50*U για εξ. Αερα &amp; g=0]"," ")</f>
        <v xml:space="preserve">     ↑  [επαφή με ΜΘΧ: 0,50*U για εξ. Αερα &amp; g=0]</v>
      </c>
      <c r="N50" s="674"/>
      <c r="O50" s="674"/>
      <c r="P50" s="674"/>
      <c r="Q50" s="674"/>
      <c r="R50" s="53"/>
      <c r="S50" s="46"/>
      <c r="T50" s="171"/>
      <c r="U50" s="178"/>
      <c r="V50" s="54"/>
      <c r="W50" s="46"/>
      <c r="X50" s="54"/>
      <c r="Y50" s="55"/>
      <c r="Z50" s="55"/>
      <c r="AA50" s="46"/>
      <c r="AB50" s="46"/>
      <c r="AC50" s="53"/>
      <c r="AD50" s="53"/>
      <c r="AE50" s="236"/>
      <c r="AF50" s="206"/>
      <c r="AG50" s="206"/>
      <c r="AH50" s="207"/>
      <c r="AI50" s="207"/>
      <c r="AJ50" s="208"/>
      <c r="AK50" s="208"/>
      <c r="AL50" s="208"/>
      <c r="AM50" s="208"/>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1"/>
      <c r="BR50" s="211"/>
      <c r="BS50" s="211"/>
      <c r="BT50" s="211"/>
      <c r="BU50" s="211"/>
      <c r="BV50" s="211"/>
      <c r="BW50" s="211"/>
      <c r="BX50" s="211"/>
      <c r="BY50" s="211"/>
      <c r="BZ50" s="211"/>
      <c r="CA50" s="211"/>
    </row>
    <row r="51" spans="1:79" s="34" customFormat="1">
      <c r="A51" s="606" t="s">
        <v>135</v>
      </c>
      <c r="B51" s="607"/>
      <c r="C51" s="607"/>
      <c r="D51" s="710" t="s">
        <v>669</v>
      </c>
      <c r="E51" s="710"/>
      <c r="F51" s="710"/>
      <c r="G51" s="711"/>
      <c r="H51" s="711"/>
      <c r="I51" s="57" t="s">
        <v>204</v>
      </c>
      <c r="J51" s="58">
        <f>IFERROR(G51*0.00116,"-")</f>
        <v>0</v>
      </c>
      <c r="K51" s="59" t="s">
        <v>205</v>
      </c>
      <c r="L51" s="52"/>
      <c r="M51" s="60"/>
      <c r="N51" s="61"/>
      <c r="O51" s="49"/>
      <c r="P51" s="49"/>
      <c r="Q51" s="49"/>
      <c r="R51" s="49"/>
      <c r="S51" s="49"/>
      <c r="T51" s="175"/>
      <c r="U51" s="178"/>
      <c r="V51" s="54"/>
      <c r="W51" s="53"/>
      <c r="X51" s="54"/>
      <c r="Y51" s="695"/>
      <c r="Z51" s="695"/>
      <c r="AA51" s="53"/>
      <c r="AB51" s="53"/>
      <c r="AC51" s="53"/>
      <c r="AD51" s="53"/>
      <c r="AE51" s="237"/>
      <c r="AF51" s="201"/>
      <c r="AG51" s="201"/>
      <c r="AH51" s="201"/>
      <c r="AI51" s="201"/>
      <c r="AJ51" s="208"/>
      <c r="AK51" s="208"/>
      <c r="AL51" s="208"/>
      <c r="AM51" s="208"/>
      <c r="AN51" s="211"/>
      <c r="AO51" s="211"/>
      <c r="AP51" s="211"/>
      <c r="AQ51" s="211"/>
      <c r="AR51" s="211"/>
      <c r="AS51" s="211"/>
      <c r="AT51" s="212" t="s">
        <v>180</v>
      </c>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1"/>
      <c r="BR51" s="211"/>
      <c r="BS51" s="211"/>
      <c r="BT51" s="211"/>
      <c r="BU51" s="211"/>
      <c r="BV51" s="211"/>
      <c r="BW51" s="211"/>
      <c r="BX51" s="211"/>
      <c r="BY51" s="211"/>
      <c r="BZ51" s="211"/>
      <c r="CA51" s="211"/>
    </row>
    <row r="52" spans="1:79" s="34" customFormat="1">
      <c r="A52" s="810" t="s">
        <v>670</v>
      </c>
      <c r="B52" s="811"/>
      <c r="C52" s="811"/>
      <c r="D52" s="812" t="s">
        <v>160</v>
      </c>
      <c r="E52" s="813"/>
      <c r="F52" s="813"/>
      <c r="G52" s="135" t="s">
        <v>314</v>
      </c>
      <c r="H52" s="826" t="s">
        <v>354</v>
      </c>
      <c r="I52" s="827"/>
      <c r="J52" s="827"/>
      <c r="K52" s="280">
        <f>T66</f>
        <v>0</v>
      </c>
      <c r="L52" s="771" t="s">
        <v>176</v>
      </c>
      <c r="M52" s="772"/>
      <c r="N52" s="772"/>
      <c r="O52" s="772"/>
      <c r="P52" s="773"/>
      <c r="Q52" s="774" t="s">
        <v>198</v>
      </c>
      <c r="R52" s="775"/>
      <c r="S52" s="775"/>
      <c r="T52" s="776"/>
      <c r="U52" s="53"/>
      <c r="V52" s="54"/>
      <c r="W52" s="53"/>
      <c r="X52" s="54"/>
      <c r="Y52" s="695"/>
      <c r="Z52" s="695"/>
      <c r="AA52" s="53"/>
      <c r="AB52" s="53"/>
      <c r="AC52" s="53"/>
      <c r="AD52" s="53"/>
      <c r="AE52" s="237"/>
      <c r="AF52" s="201"/>
      <c r="AG52" s="201"/>
      <c r="AH52" s="201"/>
      <c r="AI52" s="201"/>
      <c r="AJ52" s="208"/>
      <c r="AK52" s="208"/>
      <c r="AL52" s="208"/>
      <c r="AM52" s="208"/>
      <c r="AN52" s="211"/>
      <c r="AO52" s="211"/>
      <c r="AP52" s="211"/>
      <c r="AQ52" s="211"/>
      <c r="AR52" s="211"/>
      <c r="AS52" s="211"/>
      <c r="AT52" s="212" t="s">
        <v>179</v>
      </c>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row>
    <row r="53" spans="1:79" s="34" customFormat="1">
      <c r="A53" s="805" t="s">
        <v>148</v>
      </c>
      <c r="B53" s="806"/>
      <c r="C53" s="807"/>
      <c r="D53" s="808" t="s">
        <v>159</v>
      </c>
      <c r="E53" s="809"/>
      <c r="F53" s="809"/>
      <c r="G53" s="136" t="str">
        <f>IF(J51&gt;0,J51,"0")</f>
        <v>0</v>
      </c>
      <c r="H53" s="751" t="s">
        <v>161</v>
      </c>
      <c r="I53" s="752"/>
      <c r="J53" s="753"/>
      <c r="K53" s="62" t="s">
        <v>162</v>
      </c>
      <c r="L53" s="669" t="s">
        <v>180</v>
      </c>
      <c r="M53" s="670"/>
      <c r="N53" s="670"/>
      <c r="O53" s="670"/>
      <c r="P53" s="63">
        <f>INDEX(sys!E35:E37,MATCH(ΥΠΟΛΟΓΙΣΜΟΙ!L53,sys!B35:B37,0))</f>
        <v>1</v>
      </c>
      <c r="Q53" s="64" t="s">
        <v>202</v>
      </c>
      <c r="R53" s="65" t="s">
        <v>199</v>
      </c>
      <c r="S53" s="65" t="s">
        <v>200</v>
      </c>
      <c r="T53" s="66" t="s">
        <v>162</v>
      </c>
      <c r="U53" s="53"/>
      <c r="V53" s="54"/>
      <c r="W53" s="53"/>
      <c r="X53" s="54"/>
      <c r="Y53" s="695"/>
      <c r="Z53" s="695"/>
      <c r="AA53" s="53"/>
      <c r="AB53" s="53"/>
      <c r="AC53" s="53"/>
      <c r="AD53" s="53"/>
      <c r="AE53" s="237"/>
      <c r="AF53" s="201"/>
      <c r="AG53" s="201"/>
      <c r="AH53" s="201"/>
      <c r="AI53" s="201"/>
      <c r="AJ53" s="208"/>
      <c r="AK53" s="208"/>
      <c r="AL53" s="208"/>
      <c r="AM53" s="208"/>
      <c r="AN53" s="211"/>
      <c r="AO53" s="211"/>
      <c r="AP53" s="211"/>
      <c r="AQ53" s="211"/>
      <c r="AR53" s="211"/>
      <c r="AS53" s="211"/>
      <c r="AT53" s="212" t="s">
        <v>181</v>
      </c>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row>
    <row r="54" spans="1:79">
      <c r="A54" s="749" t="s">
        <v>222</v>
      </c>
      <c r="B54" s="750"/>
      <c r="C54" s="137"/>
      <c r="D54" s="792" t="s">
        <v>149</v>
      </c>
      <c r="E54" s="793"/>
      <c r="F54" s="793"/>
      <c r="G54" s="249"/>
      <c r="H54" s="658" t="s">
        <v>163</v>
      </c>
      <c r="I54" s="659"/>
      <c r="J54" s="138">
        <v>100</v>
      </c>
      <c r="K54" s="67" t="str">
        <f>IFERROR(G53*G56*G57*J54/100,"0")</f>
        <v>0</v>
      </c>
      <c r="L54" s="661" t="s">
        <v>183</v>
      </c>
      <c r="M54" s="662"/>
      <c r="N54" s="662"/>
      <c r="O54" s="662"/>
      <c r="P54" s="68">
        <f>INDEX(sys!E40:E41,MATCH(ΥΠΟΛΟΓΙΣΜΟΙ!L54,sys!B40:B41,0))</f>
        <v>1</v>
      </c>
      <c r="Q54" s="69" t="s">
        <v>203</v>
      </c>
      <c r="R54" s="70"/>
      <c r="S54" s="70" t="s">
        <v>201</v>
      </c>
      <c r="T54" s="71" t="s">
        <v>220</v>
      </c>
      <c r="U54" s="53"/>
      <c r="V54" s="54"/>
      <c r="W54" s="53"/>
      <c r="X54" s="54"/>
      <c r="Y54" s="695"/>
      <c r="Z54" s="695"/>
      <c r="AA54" s="53"/>
      <c r="AB54" s="53"/>
      <c r="AC54" s="53"/>
      <c r="AD54" s="53"/>
      <c r="AE54" s="237"/>
      <c r="AF54" s="201"/>
      <c r="AG54" s="201"/>
      <c r="AH54" s="201"/>
      <c r="AI54" s="201"/>
      <c r="AJ54" s="201"/>
      <c r="AK54" s="201"/>
      <c r="AL54" s="201"/>
      <c r="AM54" s="201"/>
      <c r="AN54" s="213"/>
      <c r="AO54" s="213"/>
      <c r="AP54" s="213"/>
      <c r="AQ54" s="213"/>
      <c r="AR54" s="213"/>
      <c r="AS54" s="213"/>
      <c r="AT54" s="212"/>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3"/>
      <c r="BR54" s="213"/>
      <c r="BS54" s="213"/>
      <c r="BT54" s="213"/>
      <c r="BU54" s="213"/>
      <c r="BV54" s="213"/>
      <c r="BW54" s="213"/>
      <c r="BX54" s="213"/>
      <c r="BY54" s="213"/>
      <c r="BZ54" s="213"/>
      <c r="CA54" s="213"/>
    </row>
    <row r="55" spans="1:79">
      <c r="A55" s="706" t="s">
        <v>140</v>
      </c>
      <c r="B55" s="707"/>
      <c r="C55" s="72" t="str">
        <f>IFERROR(INDEX(sys!J3:J7,MATCH(A55,sys!F3:F7,0)),"-")</f>
        <v>-</v>
      </c>
      <c r="D55" s="282" t="s">
        <v>150</v>
      </c>
      <c r="E55" s="284" t="str">
        <f>G53</f>
        <v>0</v>
      </c>
      <c r="F55" s="678" t="str">
        <f>IFERROR(E55/E56,"-")</f>
        <v>-</v>
      </c>
      <c r="G55" s="73" t="s">
        <v>446</v>
      </c>
      <c r="H55" s="796" t="s">
        <v>164</v>
      </c>
      <c r="I55" s="797"/>
      <c r="J55" s="797"/>
      <c r="K55" s="798"/>
      <c r="L55" s="661" t="s">
        <v>187</v>
      </c>
      <c r="M55" s="662"/>
      <c r="N55" s="662"/>
      <c r="O55" s="662"/>
      <c r="P55" s="68">
        <f>INDEX(sys!E44:E45,MATCH(ΥΠΟΛΟΓΙΣΜΟΙ!L55,sys!B44:B45,0))</f>
        <v>1.03</v>
      </c>
      <c r="Q55" s="139"/>
      <c r="R55" s="140"/>
      <c r="S55" s="140"/>
      <c r="T55" s="74">
        <f>(Q55/1000)*R55*(S55/1000)</f>
        <v>0</v>
      </c>
      <c r="U55" s="53"/>
      <c r="V55" s="54"/>
      <c r="W55" s="53"/>
      <c r="X55" s="54"/>
      <c r="Y55" s="695"/>
      <c r="Z55" s="695"/>
      <c r="AA55" s="53"/>
      <c r="AB55" s="53"/>
      <c r="AC55" s="53"/>
      <c r="AD55" s="53"/>
      <c r="AE55" s="237"/>
      <c r="AF55" s="201"/>
      <c r="AG55" s="201"/>
      <c r="AH55" s="201"/>
      <c r="AI55" s="201"/>
      <c r="AJ55" s="201"/>
      <c r="AK55" s="201"/>
      <c r="AL55" s="201"/>
      <c r="AM55" s="201"/>
      <c r="AN55" s="213"/>
      <c r="AO55" s="213"/>
      <c r="AP55" s="213"/>
      <c r="AQ55" s="213"/>
      <c r="AR55" s="213"/>
      <c r="AS55" s="213"/>
      <c r="AT55" s="212" t="s">
        <v>182</v>
      </c>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3"/>
      <c r="BS55" s="213"/>
      <c r="BT55" s="213"/>
      <c r="BU55" s="213"/>
      <c r="BV55" s="213"/>
      <c r="BW55" s="213"/>
      <c r="BX55" s="213"/>
      <c r="BY55" s="213"/>
      <c r="BZ55" s="213"/>
      <c r="CA55" s="213"/>
    </row>
    <row r="56" spans="1:79">
      <c r="A56" s="706" t="s">
        <v>141</v>
      </c>
      <c r="B56" s="707"/>
      <c r="C56" s="75" t="str">
        <f>IFERROR(INDEX(sys!D3:D6,MATCH(A56,sys!B3:B6,0)),"-")</f>
        <v>-</v>
      </c>
      <c r="D56" s="283" t="s">
        <v>151</v>
      </c>
      <c r="E56" s="285" t="str">
        <f>IF(C58&gt;20,C58,20)</f>
        <v>-</v>
      </c>
      <c r="F56" s="678"/>
      <c r="G56" s="76" t="str">
        <f>IFERROR(IF(F55&gt;1,LOOKUP(F55,sys!B11:C14),1),"-")</f>
        <v>-</v>
      </c>
      <c r="H56" s="650" t="s">
        <v>171</v>
      </c>
      <c r="I56" s="651"/>
      <c r="J56" s="651"/>
      <c r="K56" s="652"/>
      <c r="L56" s="661" t="s">
        <v>190</v>
      </c>
      <c r="M56" s="662"/>
      <c r="N56" s="662"/>
      <c r="O56" s="662"/>
      <c r="P56" s="663"/>
      <c r="Q56" s="139"/>
      <c r="R56" s="140"/>
      <c r="S56" s="140"/>
      <c r="T56" s="74">
        <f t="shared" ref="T56:T57" si="63">IFERROR((Q56/1000)*R56*(S56/1000),"-")</f>
        <v>0</v>
      </c>
      <c r="U56" s="53"/>
      <c r="V56" s="54"/>
      <c r="W56" s="53"/>
      <c r="X56" s="54"/>
      <c r="Y56" s="53"/>
      <c r="Z56" s="53"/>
      <c r="AA56" s="53"/>
      <c r="AB56" s="53"/>
      <c r="AC56" s="53"/>
      <c r="AD56" s="53"/>
      <c r="AE56" s="237"/>
      <c r="AF56" s="201"/>
      <c r="AG56" s="201"/>
      <c r="AH56" s="201"/>
      <c r="AI56" s="201"/>
      <c r="AJ56" s="201"/>
      <c r="AK56" s="201"/>
      <c r="AL56" s="201"/>
      <c r="AM56" s="201"/>
      <c r="AN56" s="213"/>
      <c r="AO56" s="213"/>
      <c r="AP56" s="213"/>
      <c r="AQ56" s="213"/>
      <c r="AR56" s="213"/>
      <c r="AS56" s="213"/>
      <c r="AT56" s="212" t="s">
        <v>183</v>
      </c>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row>
    <row r="57" spans="1:79">
      <c r="A57" s="708" t="s">
        <v>223</v>
      </c>
      <c r="B57" s="709"/>
      <c r="C57" s="185">
        <v>2.5</v>
      </c>
      <c r="D57" s="799" t="s">
        <v>157</v>
      </c>
      <c r="E57" s="800"/>
      <c r="F57" s="250" t="s">
        <v>445</v>
      </c>
      <c r="G57" s="248" t="str">
        <f>IF(D57="λεβητας με:","-",IF(D57="Καλή μόνωση",1,LOOKUP(G53,sys!M10:N14)))</f>
        <v>-</v>
      </c>
      <c r="H57" s="661" t="s">
        <v>166</v>
      </c>
      <c r="I57" s="662"/>
      <c r="J57" s="662"/>
      <c r="K57" s="663"/>
      <c r="L57" s="666" t="s">
        <v>195</v>
      </c>
      <c r="M57" s="667"/>
      <c r="N57" s="667"/>
      <c r="O57" s="667"/>
      <c r="P57" s="77">
        <f>INDEX(sys!K35:M39,MATCH(ΥΠΟΛΟΓΙΣΜΟΙ!L56,sys!H35:H39,0),MATCH(ΥΠΟΛΟΓΙΣΜΟΙ!L57,sys!K34:M34,0))</f>
        <v>0.93</v>
      </c>
      <c r="Q57" s="141"/>
      <c r="R57" s="142"/>
      <c r="S57" s="142"/>
      <c r="T57" s="74">
        <f t="shared" si="63"/>
        <v>0</v>
      </c>
      <c r="V57" s="804" t="s">
        <v>705</v>
      </c>
      <c r="W57" s="804"/>
      <c r="X57" s="804"/>
      <c r="Y57" s="804"/>
      <c r="Z57" s="804"/>
      <c r="AA57" s="804"/>
      <c r="AB57" s="804"/>
      <c r="AC57" s="804"/>
      <c r="AE57" s="237"/>
      <c r="AF57" s="201"/>
      <c r="AG57" s="201"/>
      <c r="AH57" s="201"/>
      <c r="AI57" s="201"/>
      <c r="AJ57" s="201"/>
      <c r="AK57" s="201"/>
      <c r="AL57" s="201"/>
      <c r="AM57" s="201"/>
      <c r="AN57" s="213"/>
      <c r="AO57" s="213"/>
      <c r="AP57" s="213"/>
      <c r="AQ57" s="213"/>
      <c r="AR57" s="213"/>
      <c r="AS57" s="213"/>
      <c r="AT57" s="212" t="s">
        <v>184</v>
      </c>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row>
    <row r="58" spans="1:79">
      <c r="A58" s="794" t="s">
        <v>589</v>
      </c>
      <c r="B58" s="795"/>
      <c r="C58" s="281" t="str">
        <f>IFERROR((C54*C55*C56*C57/1000)+K52,"-")</f>
        <v>-</v>
      </c>
      <c r="D58" s="712" t="s">
        <v>158</v>
      </c>
      <c r="E58" s="713"/>
      <c r="F58" s="713"/>
      <c r="G58" s="78" t="str">
        <f>IF(G52="ΝΑΙ",0.935,IFERROR(G54*G56*G57,"-"))</f>
        <v>-</v>
      </c>
      <c r="H58" s="714" t="s">
        <v>173</v>
      </c>
      <c r="I58" s="660"/>
      <c r="J58" s="660"/>
      <c r="K58" s="79" t="str">
        <f>IF(G52="ΟΧΙ",IFERROR(sys!P28,"-"),0.95)</f>
        <v>-</v>
      </c>
      <c r="L58" s="660" t="s">
        <v>177</v>
      </c>
      <c r="M58" s="660"/>
      <c r="N58" s="660"/>
      <c r="O58" s="660"/>
      <c r="P58" s="80">
        <f>IF(G52="ΟΧΙ",P57/(P53*P54*P55),0.93)</f>
        <v>0.90291262135922334</v>
      </c>
      <c r="Q58" s="81" t="str">
        <f>IF(G52="ΝΑΙ","κατοικ.","-")</f>
        <v>-</v>
      </c>
      <c r="R58" s="82" t="str">
        <f>IF(G52="ΝΑΙ",(0.1*F11/1000),"θεωρ.")</f>
        <v>θεωρ.</v>
      </c>
      <c r="S58" s="83" t="str">
        <f>IF(G52="ΝΑΙ","τριτογ.","συστ.")</f>
        <v>συστ.</v>
      </c>
      <c r="T58" s="84" t="str">
        <f>IF(G52="ΝΑΙ",(5*F11/1000),"-")</f>
        <v>-</v>
      </c>
      <c r="AE58" s="237"/>
      <c r="AF58" s="201"/>
      <c r="AG58" s="201"/>
      <c r="AH58" s="201"/>
      <c r="AI58" s="201"/>
      <c r="AJ58" s="201"/>
      <c r="AK58" s="201"/>
      <c r="AL58" s="201"/>
      <c r="AM58" s="201"/>
      <c r="AN58" s="213"/>
      <c r="AO58" s="213"/>
      <c r="AP58" s="213"/>
      <c r="AQ58" s="213"/>
      <c r="AR58" s="213"/>
      <c r="AS58" s="213"/>
      <c r="AT58" s="212"/>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row>
    <row r="59" spans="1:79">
      <c r="A59" s="85"/>
      <c r="B59" s="685" t="s">
        <v>371</v>
      </c>
      <c r="C59" s="685"/>
      <c r="D59" s="686" t="s">
        <v>674</v>
      </c>
      <c r="E59" s="686"/>
      <c r="F59" s="686"/>
      <c r="G59" s="686"/>
      <c r="H59" s="686"/>
      <c r="I59" s="686"/>
      <c r="J59" s="686"/>
      <c r="K59" s="686"/>
      <c r="L59" s="686"/>
      <c r="M59" s="686"/>
      <c r="N59" s="686"/>
      <c r="O59" s="686"/>
      <c r="P59" s="686"/>
      <c r="Q59" s="686"/>
      <c r="R59" s="686"/>
      <c r="S59" s="686"/>
      <c r="T59" s="686"/>
      <c r="U59" s="547" t="s">
        <v>709</v>
      </c>
      <c r="V59" s="548"/>
      <c r="W59" s="548"/>
      <c r="X59" s="548"/>
      <c r="Y59" s="548"/>
      <c r="Z59" s="548"/>
      <c r="AA59" s="548"/>
      <c r="AB59" s="548"/>
      <c r="AC59" s="548"/>
      <c r="AD59" s="549"/>
      <c r="AE59" s="237"/>
      <c r="AF59" s="201"/>
      <c r="AG59" s="201"/>
      <c r="AH59" s="201"/>
      <c r="AI59" s="201"/>
      <c r="AJ59" s="201"/>
      <c r="AK59" s="201"/>
      <c r="AL59" s="201"/>
      <c r="AM59" s="201"/>
      <c r="AN59" s="213"/>
      <c r="AO59" s="213"/>
      <c r="AP59" s="213"/>
      <c r="AQ59" s="213"/>
      <c r="AR59" s="213"/>
      <c r="AS59" s="213"/>
      <c r="AT59" s="212" t="s">
        <v>185</v>
      </c>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row>
    <row r="60" spans="1:79" ht="14.4" customHeight="1">
      <c r="A60" s="34"/>
      <c r="B60" s="34"/>
      <c r="C60" s="34"/>
      <c r="D60" s="34"/>
      <c r="E60" s="34"/>
      <c r="F60" s="34"/>
      <c r="G60" s="34"/>
      <c r="H60" s="34"/>
      <c r="I60" s="34"/>
      <c r="J60" s="34"/>
      <c r="K60" s="34"/>
      <c r="L60" s="34"/>
      <c r="M60" s="34"/>
      <c r="N60" s="34"/>
      <c r="O60" s="34"/>
      <c r="P60" s="34"/>
      <c r="Q60" s="34"/>
      <c r="R60" s="34"/>
      <c r="S60" s="34"/>
      <c r="T60" s="34"/>
      <c r="U60" s="547"/>
      <c r="V60" s="548"/>
      <c r="W60" s="548"/>
      <c r="X60" s="548"/>
      <c r="Y60" s="548"/>
      <c r="Z60" s="548"/>
      <c r="AA60" s="548"/>
      <c r="AB60" s="548"/>
      <c r="AC60" s="548"/>
      <c r="AD60" s="549"/>
      <c r="AE60" s="237"/>
      <c r="AF60" s="201"/>
      <c r="AG60" s="201"/>
      <c r="AH60" s="201"/>
      <c r="AI60" s="201"/>
      <c r="AJ60" s="201"/>
      <c r="AK60" s="201"/>
      <c r="AL60" s="201"/>
      <c r="AM60" s="201"/>
      <c r="AN60" s="213"/>
      <c r="AO60" s="213"/>
      <c r="AP60" s="213"/>
      <c r="AQ60" s="213"/>
      <c r="AR60" s="213"/>
      <c r="AS60" s="213"/>
      <c r="AT60" s="212" t="s">
        <v>186</v>
      </c>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row>
    <row r="61" spans="1:79" ht="14.4" customHeight="1">
      <c r="A61" s="680" t="s">
        <v>671</v>
      </c>
      <c r="B61" s="680"/>
      <c r="C61" s="680"/>
      <c r="D61" s="680"/>
      <c r="E61" s="680"/>
      <c r="F61" s="680"/>
      <c r="G61" s="681"/>
      <c r="H61" s="494" t="s">
        <v>208</v>
      </c>
      <c r="I61" s="484"/>
      <c r="J61" s="494" t="s">
        <v>210</v>
      </c>
      <c r="K61" s="484"/>
      <c r="L61" s="484"/>
      <c r="M61" s="490"/>
      <c r="N61" s="484" t="s">
        <v>212</v>
      </c>
      <c r="O61" s="490"/>
      <c r="P61" s="274"/>
      <c r="Q61" s="555" t="s">
        <v>575</v>
      </c>
      <c r="R61" s="556"/>
      <c r="S61" s="557"/>
      <c r="T61" s="328" t="s">
        <v>314</v>
      </c>
      <c r="U61" s="548"/>
      <c r="V61" s="548"/>
      <c r="W61" s="548"/>
      <c r="X61" s="548"/>
      <c r="Y61" s="548"/>
      <c r="Z61" s="548"/>
      <c r="AA61" s="548"/>
      <c r="AB61" s="548"/>
      <c r="AC61" s="548"/>
      <c r="AD61" s="549"/>
      <c r="AE61" s="237"/>
      <c r="AF61" s="201"/>
      <c r="AG61" s="201"/>
      <c r="AH61" s="201"/>
      <c r="AI61" s="201"/>
      <c r="AJ61" s="201"/>
      <c r="AK61" s="201"/>
      <c r="AL61" s="201"/>
      <c r="AM61" s="201"/>
      <c r="AN61" s="213"/>
      <c r="AO61" s="213"/>
      <c r="AP61" s="213"/>
      <c r="AQ61" s="213"/>
      <c r="AR61" s="213"/>
      <c r="AS61" s="213"/>
      <c r="AT61" s="212" t="s">
        <v>187</v>
      </c>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row>
    <row r="62" spans="1:79">
      <c r="A62" s="86"/>
      <c r="B62" s="106" t="s">
        <v>4</v>
      </c>
      <c r="C62" s="517" t="s">
        <v>206</v>
      </c>
      <c r="D62" s="518"/>
      <c r="E62" s="518" t="s">
        <v>226</v>
      </c>
      <c r="F62" s="518"/>
      <c r="G62" s="87" t="s">
        <v>207</v>
      </c>
      <c r="H62" s="495" t="s">
        <v>209</v>
      </c>
      <c r="I62" s="496"/>
      <c r="J62" s="560" t="s">
        <v>224</v>
      </c>
      <c r="K62" s="561"/>
      <c r="L62" s="558" t="s">
        <v>211</v>
      </c>
      <c r="M62" s="559"/>
      <c r="N62" s="496" t="s">
        <v>213</v>
      </c>
      <c r="O62" s="649"/>
      <c r="P62" s="274"/>
      <c r="Q62" s="324" t="s">
        <v>577</v>
      </c>
      <c r="R62" s="333" t="str">
        <f>IF(T61="ΟΧΙ","-",IF(sys!S39=0,"-",sys!S39))</f>
        <v>-</v>
      </c>
      <c r="S62" s="322" t="s">
        <v>581</v>
      </c>
      <c r="T62" s="334" t="str">
        <f>IF(T61="ΟΧΙ","-",IF(sys!U39=0,"-",sys!U39))</f>
        <v>-</v>
      </c>
      <c r="U62" s="548"/>
      <c r="V62" s="548"/>
      <c r="W62" s="548"/>
      <c r="X62" s="548"/>
      <c r="Y62" s="548"/>
      <c r="Z62" s="548"/>
      <c r="AA62" s="548"/>
      <c r="AB62" s="548"/>
      <c r="AC62" s="548"/>
      <c r="AD62" s="549"/>
      <c r="AE62" s="237"/>
      <c r="AF62" s="201"/>
      <c r="AG62" s="201"/>
      <c r="AH62" s="201"/>
      <c r="AI62" s="201"/>
      <c r="AJ62" s="201"/>
      <c r="AK62" s="201"/>
      <c r="AL62" s="201"/>
      <c r="AM62" s="201"/>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row>
    <row r="63" spans="1:79">
      <c r="A63" s="88">
        <v>1</v>
      </c>
      <c r="B63" s="143"/>
      <c r="C63" s="679"/>
      <c r="D63" s="677"/>
      <c r="E63" s="677"/>
      <c r="F63" s="684"/>
      <c r="G63" s="62" t="str">
        <f>IFERROR(C63/E63,"-")</f>
        <v>-</v>
      </c>
      <c r="H63" s="456"/>
      <c r="I63" s="457"/>
      <c r="J63" s="456"/>
      <c r="K63" s="457"/>
      <c r="L63" s="457"/>
      <c r="M63" s="479"/>
      <c r="N63" s="491" t="str">
        <f>IFERROR(IF(L63&gt;0,L63/H63,(J63*0.000293)/H63),"-")</f>
        <v>-</v>
      </c>
      <c r="O63" s="492"/>
      <c r="P63" s="275"/>
      <c r="Q63" s="325" t="s">
        <v>583</v>
      </c>
      <c r="R63" s="279"/>
      <c r="S63" s="323" t="s">
        <v>582</v>
      </c>
      <c r="T63" s="326"/>
      <c r="U63" s="548"/>
      <c r="V63" s="548"/>
      <c r="W63" s="548"/>
      <c r="X63" s="548"/>
      <c r="Y63" s="548"/>
      <c r="Z63" s="548"/>
      <c r="AA63" s="548"/>
      <c r="AB63" s="548"/>
      <c r="AC63" s="548"/>
      <c r="AD63" s="549"/>
      <c r="AE63" s="237"/>
      <c r="AF63" s="201"/>
      <c r="AG63" s="201"/>
      <c r="AH63" s="201"/>
      <c r="AI63" s="201"/>
      <c r="AJ63" s="201"/>
      <c r="AK63" s="201"/>
      <c r="AL63" s="201"/>
      <c r="AM63" s="201"/>
      <c r="AN63" s="213"/>
      <c r="AO63" s="213"/>
      <c r="AP63" s="213"/>
      <c r="AQ63" s="213"/>
      <c r="AR63" s="213"/>
      <c r="AS63" s="213"/>
      <c r="AT63" s="212" t="s">
        <v>188</v>
      </c>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row>
    <row r="64" spans="1:79">
      <c r="A64" s="89">
        <v>2</v>
      </c>
      <c r="B64" s="144"/>
      <c r="C64" s="456"/>
      <c r="D64" s="457"/>
      <c r="E64" s="457" t="str">
        <f>IF(C64&gt;0,E63,"")</f>
        <v/>
      </c>
      <c r="F64" s="479"/>
      <c r="G64" s="90" t="str">
        <f t="shared" ref="G64:G66" si="64">IFERROR(C64/E64,"-")</f>
        <v>-</v>
      </c>
      <c r="H64" s="456"/>
      <c r="I64" s="457"/>
      <c r="J64" s="456"/>
      <c r="K64" s="457"/>
      <c r="L64" s="457"/>
      <c r="M64" s="479"/>
      <c r="N64" s="480" t="str">
        <f t="shared" ref="N64" si="65">IFERROR(IF(L64&gt;0,L64/H64,(J64*0.000293)/H64),"-")</f>
        <v>-</v>
      </c>
      <c r="O64" s="498"/>
      <c r="P64" s="275"/>
      <c r="Q64" s="324" t="s">
        <v>676</v>
      </c>
      <c r="R64" s="278" t="s">
        <v>396</v>
      </c>
      <c r="S64" s="322" t="s">
        <v>586</v>
      </c>
      <c r="T64" s="327" t="s">
        <v>314</v>
      </c>
      <c r="U64" s="548"/>
      <c r="V64" s="548"/>
      <c r="W64" s="548"/>
      <c r="X64" s="548"/>
      <c r="Y64" s="548"/>
      <c r="Z64" s="548"/>
      <c r="AA64" s="548"/>
      <c r="AB64" s="548"/>
      <c r="AC64" s="548"/>
      <c r="AD64" s="549"/>
      <c r="AE64" s="237"/>
      <c r="AF64" s="201"/>
      <c r="AG64" s="201"/>
      <c r="AH64" s="201"/>
      <c r="AI64" s="201"/>
      <c r="AJ64" s="201"/>
      <c r="AK64" s="201"/>
      <c r="AL64" s="201"/>
      <c r="AM64" s="201"/>
      <c r="AN64" s="213"/>
      <c r="AO64" s="213"/>
      <c r="AP64" s="213"/>
      <c r="AQ64" s="213"/>
      <c r="AR64" s="213"/>
      <c r="AS64" s="213"/>
      <c r="AT64" s="212"/>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row>
    <row r="65" spans="1:79">
      <c r="A65" s="89">
        <v>3</v>
      </c>
      <c r="B65" s="144"/>
      <c r="C65" s="456"/>
      <c r="D65" s="457"/>
      <c r="E65" s="457" t="str">
        <f>IF(C65&gt;0,E64,"")</f>
        <v/>
      </c>
      <c r="F65" s="479"/>
      <c r="G65" s="90" t="str">
        <f t="shared" si="64"/>
        <v>-</v>
      </c>
      <c r="H65" s="456"/>
      <c r="I65" s="457"/>
      <c r="J65" s="456"/>
      <c r="K65" s="457"/>
      <c r="L65" s="457"/>
      <c r="M65" s="479"/>
      <c r="N65" s="480" t="str">
        <f t="shared" ref="N65:N66" si="66">IFERROR(IF(L65&gt;0,L65/H65,(J65*0.000293)/H65),"-")</f>
        <v>-</v>
      </c>
      <c r="O65" s="498"/>
      <c r="P65" s="276"/>
      <c r="Q65" s="801" t="s">
        <v>675</v>
      </c>
      <c r="R65" s="802"/>
      <c r="S65" s="802"/>
      <c r="T65" s="335" t="str">
        <f>IF(T61="ΟΧΙ","-",sys!U42)</f>
        <v>-</v>
      </c>
      <c r="U65" s="548"/>
      <c r="V65" s="548"/>
      <c r="W65" s="548"/>
      <c r="X65" s="548"/>
      <c r="Y65" s="548"/>
      <c r="Z65" s="548"/>
      <c r="AA65" s="548"/>
      <c r="AB65" s="548"/>
      <c r="AC65" s="548"/>
      <c r="AD65" s="549"/>
      <c r="AE65" s="237"/>
      <c r="AF65" s="201"/>
      <c r="AG65" s="201"/>
      <c r="AH65" s="201"/>
      <c r="AI65" s="201"/>
      <c r="AJ65" s="201"/>
      <c r="AK65" s="201"/>
      <c r="AL65" s="201"/>
      <c r="AM65" s="201"/>
      <c r="AN65" s="213"/>
      <c r="AO65" s="213"/>
      <c r="AP65" s="213"/>
      <c r="AQ65" s="213"/>
      <c r="AR65" s="213"/>
      <c r="AS65" s="213"/>
      <c r="AT65" s="212" t="s">
        <v>189</v>
      </c>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row>
    <row r="66" spans="1:79">
      <c r="A66" s="91">
        <v>4</v>
      </c>
      <c r="B66" s="145"/>
      <c r="C66" s="497"/>
      <c r="D66" s="471"/>
      <c r="E66" s="471" t="str">
        <f t="shared" ref="E66" si="67">IF(C66&gt;0,E65,"")</f>
        <v/>
      </c>
      <c r="F66" s="472"/>
      <c r="G66" s="39" t="str">
        <f t="shared" si="64"/>
        <v>-</v>
      </c>
      <c r="H66" s="497"/>
      <c r="I66" s="471"/>
      <c r="J66" s="497"/>
      <c r="K66" s="471"/>
      <c r="L66" s="471"/>
      <c r="M66" s="472"/>
      <c r="N66" s="482" t="str">
        <f t="shared" si="66"/>
        <v>-</v>
      </c>
      <c r="O66" s="483"/>
      <c r="P66" s="277"/>
      <c r="Q66" s="790" t="s">
        <v>354</v>
      </c>
      <c r="R66" s="791"/>
      <c r="S66" s="791"/>
      <c r="T66" s="329">
        <f>IF(T61="ΟΧΙ",0,sys!U43)</f>
        <v>0</v>
      </c>
      <c r="U66" s="548"/>
      <c r="V66" s="548"/>
      <c r="W66" s="548"/>
      <c r="X66" s="548"/>
      <c r="Y66" s="548"/>
      <c r="Z66" s="548"/>
      <c r="AA66" s="548"/>
      <c r="AB66" s="548"/>
      <c r="AC66" s="548"/>
      <c r="AD66" s="549"/>
      <c r="AE66" s="237"/>
      <c r="AF66" s="201"/>
      <c r="AG66" s="201"/>
      <c r="AH66" s="201"/>
      <c r="AI66" s="201"/>
      <c r="AJ66" s="201"/>
      <c r="AK66" s="201"/>
      <c r="AL66" s="201"/>
      <c r="AM66" s="201"/>
      <c r="AN66" s="213"/>
      <c r="AO66" s="213"/>
      <c r="AP66" s="213"/>
      <c r="AQ66" s="213"/>
      <c r="AR66" s="213"/>
      <c r="AS66" s="213"/>
      <c r="AT66" s="212" t="s">
        <v>190</v>
      </c>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row>
    <row r="67" spans="1:79">
      <c r="A67" s="34"/>
      <c r="B67" s="685" t="s">
        <v>672</v>
      </c>
      <c r="C67" s="685"/>
      <c r="D67" s="685"/>
      <c r="E67" s="685"/>
      <c r="F67" s="685"/>
      <c r="G67" s="685"/>
      <c r="H67" s="685"/>
      <c r="I67" s="685"/>
      <c r="J67" s="685"/>
      <c r="K67" s="685"/>
      <c r="L67" s="685"/>
      <c r="M67" s="685"/>
      <c r="N67" s="685"/>
      <c r="O67" s="685"/>
      <c r="P67" s="34"/>
      <c r="Q67" s="562" t="s">
        <v>673</v>
      </c>
      <c r="R67" s="562"/>
      <c r="S67" s="562"/>
      <c r="T67" s="562"/>
      <c r="U67" s="547"/>
      <c r="V67" s="548"/>
      <c r="W67" s="548"/>
      <c r="X67" s="548"/>
      <c r="Y67" s="548"/>
      <c r="Z67" s="548"/>
      <c r="AA67" s="548"/>
      <c r="AB67" s="548"/>
      <c r="AC67" s="548"/>
      <c r="AD67" s="549"/>
      <c r="AE67" s="237"/>
      <c r="AF67" s="201"/>
      <c r="AG67" s="201"/>
      <c r="AH67" s="201"/>
      <c r="AI67" s="201"/>
      <c r="AJ67" s="201"/>
      <c r="AK67" s="201"/>
      <c r="AL67" s="201"/>
      <c r="AM67" s="201"/>
      <c r="AN67" s="213"/>
      <c r="AO67" s="213"/>
      <c r="AP67" s="213"/>
      <c r="AQ67" s="213"/>
      <c r="AR67" s="213"/>
      <c r="AS67" s="213"/>
      <c r="AT67" s="212" t="s">
        <v>191</v>
      </c>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row>
    <row r="68" spans="1:79">
      <c r="A68" s="682" t="s">
        <v>214</v>
      </c>
      <c r="B68" s="683"/>
      <c r="C68" s="683"/>
      <c r="D68" s="34"/>
      <c r="E68" s="34"/>
      <c r="F68" s="34"/>
      <c r="G68" s="34"/>
      <c r="H68" s="34"/>
      <c r="I68" s="34"/>
      <c r="J68" s="34"/>
      <c r="K68" s="34"/>
      <c r="L68" s="34"/>
      <c r="M68" s="34"/>
      <c r="N68" s="34"/>
      <c r="O68" s="34"/>
      <c r="P68" s="34"/>
      <c r="Q68" s="34"/>
      <c r="R68" s="34"/>
      <c r="S68" s="34"/>
      <c r="T68" s="34"/>
      <c r="U68" s="547"/>
      <c r="V68" s="548"/>
      <c r="W68" s="548"/>
      <c r="X68" s="548"/>
      <c r="Y68" s="548"/>
      <c r="Z68" s="548"/>
      <c r="AA68" s="548"/>
      <c r="AB68" s="548"/>
      <c r="AC68" s="548"/>
      <c r="AD68" s="549"/>
      <c r="AE68" s="237"/>
      <c r="AF68" s="201"/>
      <c r="AG68" s="201"/>
      <c r="AH68" s="201"/>
      <c r="AI68" s="201"/>
      <c r="AJ68" s="201"/>
      <c r="AK68" s="201"/>
      <c r="AL68" s="201"/>
      <c r="AM68" s="201"/>
      <c r="AN68" s="213"/>
      <c r="AO68" s="213"/>
      <c r="AP68" s="213"/>
      <c r="AQ68" s="213"/>
      <c r="AR68" s="213"/>
      <c r="AS68" s="213"/>
      <c r="AT68" s="212" t="s">
        <v>192</v>
      </c>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row>
    <row r="69" spans="1:79">
      <c r="A69" s="680" t="s">
        <v>370</v>
      </c>
      <c r="B69" s="680"/>
      <c r="C69" s="680"/>
      <c r="D69" s="680"/>
      <c r="E69" s="680"/>
      <c r="H69" s="494" t="s">
        <v>215</v>
      </c>
      <c r="I69" s="484"/>
      <c r="J69" s="494" t="s">
        <v>216</v>
      </c>
      <c r="K69" s="484"/>
      <c r="L69" s="484"/>
      <c r="M69" s="490"/>
      <c r="N69" s="484" t="s">
        <v>212</v>
      </c>
      <c r="O69" s="484"/>
      <c r="P69" s="533" t="s">
        <v>687</v>
      </c>
      <c r="Q69" s="534"/>
      <c r="R69" s="534"/>
      <c r="S69" s="534"/>
      <c r="T69" s="535"/>
      <c r="U69" s="548"/>
      <c r="V69" s="548"/>
      <c r="W69" s="548"/>
      <c r="X69" s="548"/>
      <c r="Y69" s="548"/>
      <c r="Z69" s="548"/>
      <c r="AA69" s="548"/>
      <c r="AB69" s="548"/>
      <c r="AC69" s="548"/>
      <c r="AD69" s="549"/>
      <c r="AE69" s="237"/>
      <c r="AF69" s="201"/>
      <c r="AG69" s="201"/>
      <c r="AH69" s="201"/>
      <c r="AI69" s="201"/>
      <c r="AJ69" s="201"/>
      <c r="AK69" s="201"/>
      <c r="AL69" s="201"/>
      <c r="AM69" s="201"/>
      <c r="AN69" s="213"/>
      <c r="AO69" s="213"/>
      <c r="AP69" s="213"/>
      <c r="AQ69" s="213"/>
      <c r="AR69" s="213"/>
      <c r="AS69" s="213"/>
      <c r="AT69" s="212" t="s">
        <v>193</v>
      </c>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row>
    <row r="70" spans="1:79">
      <c r="A70" s="86"/>
      <c r="B70" s="106" t="s">
        <v>4</v>
      </c>
      <c r="C70" s="517" t="s">
        <v>677</v>
      </c>
      <c r="D70" s="518"/>
      <c r="E70" s="518" t="s">
        <v>226</v>
      </c>
      <c r="F70" s="518"/>
      <c r="G70" s="87" t="s">
        <v>678</v>
      </c>
      <c r="H70" s="495" t="s">
        <v>209</v>
      </c>
      <c r="I70" s="496"/>
      <c r="J70" s="560" t="s">
        <v>224</v>
      </c>
      <c r="K70" s="561"/>
      <c r="L70" s="558" t="s">
        <v>211</v>
      </c>
      <c r="M70" s="559"/>
      <c r="N70" s="496" t="s">
        <v>217</v>
      </c>
      <c r="O70" s="496"/>
      <c r="P70" s="467" t="s">
        <v>679</v>
      </c>
      <c r="Q70" s="468"/>
      <c r="R70" s="468"/>
      <c r="S70" s="468"/>
      <c r="T70" s="469"/>
      <c r="U70" s="548"/>
      <c r="V70" s="548"/>
      <c r="W70" s="548"/>
      <c r="X70" s="548"/>
      <c r="Y70" s="548"/>
      <c r="Z70" s="548"/>
      <c r="AA70" s="548"/>
      <c r="AB70" s="548"/>
      <c r="AC70" s="548"/>
      <c r="AD70" s="549"/>
      <c r="AE70" s="237"/>
      <c r="AF70" s="201"/>
      <c r="AG70" s="201"/>
      <c r="AH70" s="201"/>
      <c r="AI70" s="201"/>
      <c r="AJ70" s="201"/>
      <c r="AK70" s="201"/>
      <c r="AL70" s="201"/>
      <c r="AM70" s="201"/>
      <c r="AN70" s="213"/>
      <c r="AO70" s="213"/>
      <c r="AP70" s="213"/>
      <c r="AQ70" s="213"/>
      <c r="AR70" s="213"/>
      <c r="AS70" s="213"/>
      <c r="AT70" s="212"/>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213"/>
      <c r="CA70" s="213"/>
    </row>
    <row r="71" spans="1:79">
      <c r="A71" s="88">
        <v>1</v>
      </c>
      <c r="B71" s="143"/>
      <c r="C71" s="679"/>
      <c r="D71" s="677"/>
      <c r="E71" s="677"/>
      <c r="F71" s="677"/>
      <c r="G71" s="62" t="str">
        <f>IFERROR(C71/E71,"0")</f>
        <v>0</v>
      </c>
      <c r="H71" s="456"/>
      <c r="I71" s="457"/>
      <c r="J71" s="456"/>
      <c r="K71" s="457"/>
      <c r="L71" s="457"/>
      <c r="M71" s="479"/>
      <c r="N71" s="491" t="str">
        <f>IFERROR(IF(L71&gt;0,L71/H71,(J71*0.000293)/H71),"-")</f>
        <v>-</v>
      </c>
      <c r="O71" s="493"/>
      <c r="P71" s="467" t="s">
        <v>302</v>
      </c>
      <c r="Q71" s="468"/>
      <c r="R71" s="468"/>
      <c r="S71" s="468"/>
      <c r="T71" s="469"/>
      <c r="U71" s="548"/>
      <c r="V71" s="548"/>
      <c r="W71" s="548"/>
      <c r="X71" s="548"/>
      <c r="Y71" s="548"/>
      <c r="Z71" s="548"/>
      <c r="AA71" s="548"/>
      <c r="AB71" s="548"/>
      <c r="AC71" s="548"/>
      <c r="AD71" s="549"/>
      <c r="AE71" s="237"/>
      <c r="AF71" s="201"/>
      <c r="AG71" s="201"/>
      <c r="AH71" s="201"/>
      <c r="AI71" s="201"/>
      <c r="AJ71" s="201"/>
      <c r="AK71" s="201"/>
      <c r="AL71" s="201"/>
      <c r="AM71" s="201"/>
      <c r="AN71" s="213"/>
      <c r="AO71" s="213"/>
      <c r="AP71" s="213"/>
      <c r="AQ71" s="213"/>
      <c r="AR71" s="213"/>
      <c r="AS71" s="213"/>
      <c r="AT71" s="212" t="s">
        <v>194</v>
      </c>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row>
    <row r="72" spans="1:79">
      <c r="A72" s="89">
        <v>2</v>
      </c>
      <c r="B72" s="144"/>
      <c r="C72" s="456"/>
      <c r="D72" s="457"/>
      <c r="E72" s="457" t="str">
        <f>IF(C72&gt;0,E71,"")</f>
        <v/>
      </c>
      <c r="F72" s="457"/>
      <c r="G72" s="90" t="str">
        <f>IFERROR(C72/E72,"0")</f>
        <v>0</v>
      </c>
      <c r="H72" s="456"/>
      <c r="I72" s="457"/>
      <c r="J72" s="456"/>
      <c r="K72" s="457"/>
      <c r="L72" s="457"/>
      <c r="M72" s="479"/>
      <c r="N72" s="480" t="str">
        <f t="shared" ref="N72:N75" si="68">IFERROR(IF(L72&gt;0,L72/H72,(J72*0.000293)/H72),"-")</f>
        <v>-</v>
      </c>
      <c r="O72" s="481"/>
      <c r="P72" s="467" t="s">
        <v>680</v>
      </c>
      <c r="Q72" s="468"/>
      <c r="R72" s="468"/>
      <c r="S72" s="468"/>
      <c r="T72" s="469"/>
      <c r="U72" s="548"/>
      <c r="V72" s="548"/>
      <c r="W72" s="548"/>
      <c r="X72" s="548"/>
      <c r="Y72" s="548"/>
      <c r="Z72" s="548"/>
      <c r="AA72" s="548"/>
      <c r="AB72" s="548"/>
      <c r="AC72" s="548"/>
      <c r="AD72" s="549"/>
      <c r="AE72" s="237"/>
      <c r="AF72" s="201"/>
      <c r="AG72" s="201"/>
      <c r="AH72" s="201"/>
      <c r="AI72" s="201"/>
      <c r="AJ72" s="201"/>
      <c r="AK72" s="201"/>
      <c r="AL72" s="201"/>
      <c r="AM72" s="201"/>
      <c r="AN72" s="213"/>
      <c r="AO72" s="213"/>
      <c r="AP72" s="213"/>
      <c r="AQ72" s="213"/>
      <c r="AR72" s="213"/>
      <c r="AS72" s="213"/>
      <c r="AT72" s="212" t="s">
        <v>195</v>
      </c>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13"/>
      <c r="CA72" s="213"/>
    </row>
    <row r="73" spans="1:79">
      <c r="A73" s="89">
        <v>3</v>
      </c>
      <c r="B73" s="144"/>
      <c r="C73" s="617"/>
      <c r="D73" s="457"/>
      <c r="E73" s="457" t="str">
        <f t="shared" ref="E73:E74" si="69">IF(C73&gt;0,E72,"")</f>
        <v/>
      </c>
      <c r="F73" s="457"/>
      <c r="G73" s="90" t="str">
        <f t="shared" ref="G73:G75" si="70">IFERROR(C73/E73,"0")</f>
        <v>0</v>
      </c>
      <c r="H73" s="456"/>
      <c r="I73" s="457"/>
      <c r="J73" s="456"/>
      <c r="K73" s="457"/>
      <c r="L73" s="457"/>
      <c r="M73" s="479"/>
      <c r="N73" s="480" t="str">
        <f t="shared" ref="N73" si="71">IFERROR(IF(L73&gt;0,L73/H73,(J73*0.000293)/H73),"-")</f>
        <v>-</v>
      </c>
      <c r="O73" s="481"/>
      <c r="P73" s="563" t="s">
        <v>681</v>
      </c>
      <c r="Q73" s="564"/>
      <c r="R73" s="564"/>
      <c r="S73" s="564"/>
      <c r="T73" s="565"/>
      <c r="U73" s="548"/>
      <c r="V73" s="548"/>
      <c r="W73" s="548"/>
      <c r="X73" s="548"/>
      <c r="Y73" s="548"/>
      <c r="Z73" s="548"/>
      <c r="AA73" s="548"/>
      <c r="AB73" s="548"/>
      <c r="AC73" s="548"/>
      <c r="AD73" s="549"/>
      <c r="AE73" s="237"/>
      <c r="AF73" s="201"/>
      <c r="AG73" s="201"/>
      <c r="AH73" s="201"/>
      <c r="AI73" s="201"/>
      <c r="AJ73" s="201"/>
      <c r="AK73" s="201"/>
      <c r="AL73" s="201"/>
      <c r="AM73" s="201"/>
      <c r="AN73" s="213"/>
      <c r="AO73" s="213"/>
      <c r="AP73" s="213"/>
      <c r="AQ73" s="213"/>
      <c r="AR73" s="213"/>
      <c r="AS73" s="213"/>
      <c r="AT73" s="212"/>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row>
    <row r="74" spans="1:79">
      <c r="A74" s="89">
        <v>4</v>
      </c>
      <c r="B74" s="144"/>
      <c r="C74" s="456"/>
      <c r="D74" s="457"/>
      <c r="E74" s="457" t="str">
        <f t="shared" si="69"/>
        <v/>
      </c>
      <c r="F74" s="457"/>
      <c r="G74" s="90" t="str">
        <f t="shared" si="70"/>
        <v>0</v>
      </c>
      <c r="H74" s="456"/>
      <c r="I74" s="457"/>
      <c r="J74" s="456"/>
      <c r="K74" s="457"/>
      <c r="L74" s="457"/>
      <c r="M74" s="479"/>
      <c r="N74" s="480" t="str">
        <f t="shared" si="68"/>
        <v>-</v>
      </c>
      <c r="O74" s="481"/>
      <c r="P74" s="563" t="s">
        <v>682</v>
      </c>
      <c r="Q74" s="564"/>
      <c r="R74" s="564"/>
      <c r="S74" s="564"/>
      <c r="T74" s="565"/>
      <c r="U74" s="548"/>
      <c r="V74" s="548"/>
      <c r="W74" s="548"/>
      <c r="X74" s="548"/>
      <c r="Y74" s="548"/>
      <c r="Z74" s="548"/>
      <c r="AA74" s="548"/>
      <c r="AB74" s="548"/>
      <c r="AC74" s="548"/>
      <c r="AD74" s="549"/>
      <c r="AE74" s="237"/>
      <c r="AF74" s="201"/>
      <c r="AG74" s="201"/>
      <c r="AH74" s="201"/>
      <c r="AI74" s="201"/>
      <c r="AJ74" s="201"/>
      <c r="AK74" s="201"/>
      <c r="AL74" s="201"/>
      <c r="AM74" s="201"/>
      <c r="AN74" s="213"/>
      <c r="AO74" s="213"/>
      <c r="AP74" s="213"/>
      <c r="AQ74" s="213"/>
      <c r="AR74" s="213"/>
      <c r="AS74" s="213"/>
      <c r="AT74" s="212" t="s">
        <v>196</v>
      </c>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row>
    <row r="75" spans="1:79">
      <c r="A75" s="91">
        <v>5</v>
      </c>
      <c r="B75" s="145"/>
      <c r="C75" s="497"/>
      <c r="D75" s="471"/>
      <c r="E75" s="457" t="str">
        <f>IF(C75&gt;0,E74,"")</f>
        <v/>
      </c>
      <c r="F75" s="457"/>
      <c r="G75" s="90" t="str">
        <f t="shared" si="70"/>
        <v>0</v>
      </c>
      <c r="H75" s="497"/>
      <c r="I75" s="471"/>
      <c r="J75" s="497"/>
      <c r="K75" s="471"/>
      <c r="L75" s="471"/>
      <c r="M75" s="472"/>
      <c r="N75" s="482" t="str">
        <f t="shared" si="68"/>
        <v>-</v>
      </c>
      <c r="O75" s="536"/>
      <c r="P75" s="574" t="s">
        <v>683</v>
      </c>
      <c r="Q75" s="575"/>
      <c r="R75" s="575"/>
      <c r="S75" s="575"/>
      <c r="T75" s="576"/>
      <c r="U75" s="548"/>
      <c r="V75" s="548"/>
      <c r="W75" s="548"/>
      <c r="X75" s="548"/>
      <c r="Y75" s="548"/>
      <c r="Z75" s="548"/>
      <c r="AA75" s="548"/>
      <c r="AB75" s="548"/>
      <c r="AC75" s="548"/>
      <c r="AD75" s="549"/>
      <c r="AE75" s="237"/>
      <c r="AF75" s="201"/>
      <c r="AG75" s="201"/>
      <c r="AH75" s="201"/>
      <c r="AI75" s="201"/>
      <c r="AJ75" s="201"/>
      <c r="AK75" s="201"/>
      <c r="AL75" s="201"/>
      <c r="AM75" s="201"/>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13"/>
      <c r="CA75" s="213"/>
    </row>
    <row r="76" spans="1:79">
      <c r="A76" s="653" t="s">
        <v>684</v>
      </c>
      <c r="B76" s="654"/>
      <c r="C76" s="654"/>
      <c r="D76" s="654"/>
      <c r="E76" s="654"/>
      <c r="F76" s="655"/>
      <c r="G76" s="92">
        <f>G71+G72+G74+G75+G73</f>
        <v>0</v>
      </c>
      <c r="H76" s="539" t="s">
        <v>685</v>
      </c>
      <c r="I76" s="540"/>
      <c r="J76" s="540"/>
      <c r="K76" s="540"/>
      <c r="L76" s="540"/>
      <c r="M76" s="540"/>
      <c r="N76" s="540"/>
      <c r="O76" s="540"/>
      <c r="P76" s="473" t="s">
        <v>686</v>
      </c>
      <c r="Q76" s="474"/>
      <c r="R76" s="474"/>
      <c r="S76" s="474"/>
      <c r="T76" s="475"/>
      <c r="U76" s="548"/>
      <c r="V76" s="548"/>
      <c r="W76" s="548"/>
      <c r="X76" s="548"/>
      <c r="Y76" s="548"/>
      <c r="Z76" s="548"/>
      <c r="AA76" s="548"/>
      <c r="AB76" s="548"/>
      <c r="AC76" s="548"/>
      <c r="AD76" s="549"/>
      <c r="AE76" s="237"/>
      <c r="AF76" s="201"/>
      <c r="AG76" s="201"/>
      <c r="AH76" s="201"/>
      <c r="AI76" s="201"/>
      <c r="AJ76" s="201"/>
      <c r="AK76" s="201"/>
      <c r="AL76" s="201"/>
      <c r="AM76" s="201"/>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row>
    <row r="77" spans="1:79">
      <c r="T77" s="176"/>
      <c r="U77" s="547"/>
      <c r="V77" s="548"/>
      <c r="W77" s="548"/>
      <c r="X77" s="548"/>
      <c r="Y77" s="548"/>
      <c r="Z77" s="548"/>
      <c r="AA77" s="548"/>
      <c r="AB77" s="548"/>
      <c r="AC77" s="548"/>
      <c r="AD77" s="549"/>
      <c r="AE77" s="237"/>
      <c r="AF77" s="201"/>
      <c r="AG77" s="201"/>
      <c r="AH77" s="201"/>
      <c r="AI77" s="201"/>
      <c r="AJ77" s="201"/>
      <c r="AK77" s="201"/>
      <c r="AL77" s="201"/>
      <c r="AM77" s="201"/>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row>
    <row r="78" spans="1:79" ht="14.4" customHeight="1">
      <c r="A78" s="606" t="s">
        <v>218</v>
      </c>
      <c r="B78" s="607"/>
      <c r="C78" s="607"/>
      <c r="F78" s="494" t="s">
        <v>228</v>
      </c>
      <c r="G78" s="490"/>
      <c r="H78" s="494" t="s">
        <v>230</v>
      </c>
      <c r="I78" s="484"/>
      <c r="J78" s="490"/>
      <c r="K78" s="494" t="s">
        <v>198</v>
      </c>
      <c r="L78" s="484"/>
      <c r="M78" s="484"/>
      <c r="N78" s="490"/>
      <c r="O78" s="458" t="s">
        <v>688</v>
      </c>
      <c r="P78" s="459"/>
      <c r="Q78" s="459"/>
      <c r="R78" s="459"/>
      <c r="S78" s="459"/>
      <c r="T78" s="460"/>
      <c r="U78" s="548"/>
      <c r="V78" s="548"/>
      <c r="W78" s="548"/>
      <c r="X78" s="548"/>
      <c r="Y78" s="548"/>
      <c r="Z78" s="548"/>
      <c r="AA78" s="548"/>
      <c r="AB78" s="548"/>
      <c r="AC78" s="548"/>
      <c r="AD78" s="549"/>
      <c r="AE78" s="237"/>
      <c r="AF78" s="201"/>
      <c r="AG78" s="201"/>
      <c r="AH78" s="201"/>
      <c r="AI78" s="201"/>
      <c r="AJ78" s="201"/>
      <c r="AK78" s="201"/>
      <c r="AL78" s="201"/>
      <c r="AM78" s="201"/>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13"/>
      <c r="CA78" s="213"/>
    </row>
    <row r="79" spans="1:79">
      <c r="A79" s="93"/>
      <c r="B79" s="94" t="s">
        <v>4</v>
      </c>
      <c r="C79" s="94" t="s">
        <v>162</v>
      </c>
      <c r="D79" s="94" t="s">
        <v>227</v>
      </c>
      <c r="E79" s="94" t="s">
        <v>229</v>
      </c>
      <c r="F79" s="95" t="s">
        <v>162</v>
      </c>
      <c r="G79" s="106" t="s">
        <v>227</v>
      </c>
      <c r="H79" s="517" t="s">
        <v>231</v>
      </c>
      <c r="I79" s="518"/>
      <c r="J79" s="106" t="s">
        <v>227</v>
      </c>
      <c r="K79" s="517" t="s">
        <v>231</v>
      </c>
      <c r="L79" s="518"/>
      <c r="M79" s="94" t="s">
        <v>232</v>
      </c>
      <c r="N79" s="106" t="s">
        <v>162</v>
      </c>
      <c r="O79" s="461"/>
      <c r="P79" s="462"/>
      <c r="Q79" s="462"/>
      <c r="R79" s="462"/>
      <c r="S79" s="462"/>
      <c r="T79" s="463"/>
      <c r="U79" s="548"/>
      <c r="V79" s="548"/>
      <c r="W79" s="548"/>
      <c r="X79" s="548"/>
      <c r="Y79" s="548"/>
      <c r="Z79" s="548"/>
      <c r="AA79" s="548"/>
      <c r="AB79" s="548"/>
      <c r="AC79" s="548"/>
      <c r="AD79" s="549"/>
      <c r="AE79" s="237"/>
      <c r="AF79" s="201"/>
      <c r="AG79" s="201"/>
      <c r="AH79" s="201"/>
      <c r="AI79" s="201"/>
      <c r="AJ79" s="201"/>
      <c r="AK79" s="201"/>
      <c r="AL79" s="201"/>
      <c r="AM79" s="201"/>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13"/>
      <c r="CA79" s="213"/>
    </row>
    <row r="80" spans="1:79">
      <c r="A80" s="88">
        <v>1</v>
      </c>
      <c r="B80" s="146" t="s">
        <v>235</v>
      </c>
      <c r="C80" s="147">
        <v>4</v>
      </c>
      <c r="D80" s="147">
        <v>1</v>
      </c>
      <c r="E80" s="147">
        <v>1</v>
      </c>
      <c r="F80" s="148"/>
      <c r="G80" s="149">
        <v>1</v>
      </c>
      <c r="H80" s="537"/>
      <c r="I80" s="538"/>
      <c r="J80" s="149">
        <v>0.98</v>
      </c>
      <c r="K80" s="537"/>
      <c r="L80" s="538"/>
      <c r="M80" s="147"/>
      <c r="N80" s="149">
        <v>0</v>
      </c>
      <c r="O80" s="461"/>
      <c r="P80" s="462"/>
      <c r="Q80" s="462"/>
      <c r="R80" s="462"/>
      <c r="S80" s="462"/>
      <c r="T80" s="463"/>
      <c r="U80" s="548"/>
      <c r="V80" s="548"/>
      <c r="W80" s="548"/>
      <c r="X80" s="548"/>
      <c r="Y80" s="548"/>
      <c r="Z80" s="548"/>
      <c r="AA80" s="548"/>
      <c r="AB80" s="548"/>
      <c r="AC80" s="548"/>
      <c r="AD80" s="549"/>
      <c r="AE80" s="237"/>
      <c r="AF80" s="201"/>
      <c r="AG80" s="201"/>
      <c r="AH80" s="201"/>
      <c r="AI80" s="201"/>
      <c r="AJ80" s="201"/>
      <c r="AK80" s="201"/>
      <c r="AL80" s="201"/>
      <c r="AM80" s="201"/>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row>
    <row r="81" spans="1:79">
      <c r="A81" s="91">
        <v>2</v>
      </c>
      <c r="B81" s="150"/>
      <c r="C81" s="151"/>
      <c r="D81" s="151"/>
      <c r="E81" s="151"/>
      <c r="F81" s="152"/>
      <c r="G81" s="153"/>
      <c r="H81" s="572"/>
      <c r="I81" s="573"/>
      <c r="J81" s="153"/>
      <c r="K81" s="572"/>
      <c r="L81" s="573"/>
      <c r="M81" s="151"/>
      <c r="N81" s="153"/>
      <c r="O81" s="464"/>
      <c r="P81" s="465"/>
      <c r="Q81" s="465"/>
      <c r="R81" s="465"/>
      <c r="S81" s="465"/>
      <c r="T81" s="466"/>
      <c r="U81" s="548"/>
      <c r="V81" s="548"/>
      <c r="W81" s="548"/>
      <c r="X81" s="548"/>
      <c r="Y81" s="548"/>
      <c r="Z81" s="548"/>
      <c r="AA81" s="548"/>
      <c r="AB81" s="548"/>
      <c r="AC81" s="548"/>
      <c r="AD81" s="549"/>
      <c r="AE81" s="237"/>
      <c r="AF81" s="201"/>
      <c r="AG81" s="201"/>
      <c r="AH81" s="201"/>
      <c r="AI81" s="201"/>
      <c r="AJ81" s="201"/>
      <c r="AK81" s="201"/>
      <c r="AL81" s="201"/>
      <c r="AM81" s="201"/>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213"/>
      <c r="CA81" s="213"/>
    </row>
    <row r="82" spans="1:79" s="98" customFormat="1" ht="14.4" customHeight="1">
      <c r="A82" s="656" t="s">
        <v>306</v>
      </c>
      <c r="B82" s="656"/>
      <c r="C82" s="96">
        <v>0</v>
      </c>
      <c r="D82" s="97">
        <v>0.93500000000000005</v>
      </c>
      <c r="E82" s="96">
        <v>1</v>
      </c>
      <c r="F82" s="96">
        <v>0</v>
      </c>
      <c r="G82" s="97" t="s">
        <v>233</v>
      </c>
      <c r="H82" s="624" t="s">
        <v>236</v>
      </c>
      <c r="I82" s="624"/>
      <c r="J82" s="97">
        <v>0.93</v>
      </c>
      <c r="K82" s="570" t="s">
        <v>557</v>
      </c>
      <c r="L82" s="570"/>
      <c r="M82" s="570"/>
      <c r="N82" s="570"/>
      <c r="O82" s="569" t="s">
        <v>234</v>
      </c>
      <c r="P82" s="569"/>
      <c r="Q82" s="569"/>
      <c r="R82" s="569"/>
      <c r="S82" s="569"/>
      <c r="T82" s="569"/>
      <c r="U82" s="547"/>
      <c r="V82" s="548"/>
      <c r="W82" s="548"/>
      <c r="X82" s="548"/>
      <c r="Y82" s="548"/>
      <c r="Z82" s="548"/>
      <c r="AA82" s="548"/>
      <c r="AB82" s="548"/>
      <c r="AC82" s="548"/>
      <c r="AD82" s="549"/>
      <c r="AE82" s="238"/>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39"/>
      <c r="BO82" s="239"/>
      <c r="BP82" s="239"/>
      <c r="BQ82" s="239"/>
      <c r="BR82" s="239"/>
      <c r="BS82" s="239"/>
      <c r="BT82" s="239"/>
      <c r="BU82" s="239"/>
      <c r="BV82" s="239"/>
      <c r="BW82" s="239"/>
      <c r="BX82" s="239"/>
      <c r="BY82" s="239"/>
      <c r="BZ82" s="239"/>
      <c r="CA82" s="239"/>
    </row>
    <row r="83" spans="1:79">
      <c r="G83" s="99" t="s">
        <v>247</v>
      </c>
      <c r="H83" s="632" t="s">
        <v>312</v>
      </c>
      <c r="I83" s="632"/>
      <c r="J83" s="632"/>
      <c r="O83" s="34"/>
      <c r="P83" s="34"/>
      <c r="Q83" s="34"/>
      <c r="R83" s="34"/>
      <c r="S83" s="34"/>
      <c r="T83" s="34"/>
      <c r="U83" s="547"/>
      <c r="V83" s="548"/>
      <c r="W83" s="548"/>
      <c r="X83" s="548"/>
      <c r="Y83" s="548"/>
      <c r="Z83" s="548"/>
      <c r="AA83" s="548"/>
      <c r="AB83" s="548"/>
      <c r="AC83" s="548"/>
      <c r="AD83" s="549"/>
      <c r="AE83" s="237"/>
      <c r="AF83" s="201"/>
      <c r="AG83" s="201"/>
      <c r="AH83" s="201"/>
      <c r="AI83" s="201"/>
      <c r="AJ83" s="201"/>
      <c r="AK83" s="201"/>
      <c r="AL83" s="201"/>
      <c r="AM83" s="201"/>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13"/>
      <c r="CA83" s="213"/>
    </row>
    <row r="84" spans="1:79">
      <c r="A84" s="657" t="s">
        <v>219</v>
      </c>
      <c r="B84" s="657"/>
      <c r="C84" s="618" t="s">
        <v>381</v>
      </c>
      <c r="D84" s="618"/>
      <c r="E84" s="100"/>
      <c r="F84" s="100"/>
      <c r="L84" s="788" t="s">
        <v>621</v>
      </c>
      <c r="M84" s="788"/>
      <c r="N84" s="788"/>
      <c r="O84" s="788"/>
      <c r="P84" s="788"/>
      <c r="Q84" s="288"/>
      <c r="R84" s="288"/>
      <c r="S84" s="288"/>
      <c r="T84" s="288"/>
      <c r="U84" s="547"/>
      <c r="V84" s="548"/>
      <c r="W84" s="548"/>
      <c r="X84" s="548"/>
      <c r="Y84" s="548"/>
      <c r="Z84" s="548"/>
      <c r="AA84" s="548"/>
      <c r="AB84" s="548"/>
      <c r="AC84" s="548"/>
      <c r="AD84" s="549"/>
      <c r="AE84" s="237"/>
      <c r="AF84" s="201"/>
      <c r="AG84" s="201"/>
      <c r="AH84" s="201"/>
      <c r="AI84" s="201"/>
      <c r="AJ84" s="201"/>
      <c r="AK84" s="201"/>
      <c r="AL84" s="201"/>
      <c r="AM84" s="201"/>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row>
    <row r="85" spans="1:79">
      <c r="A85" s="101"/>
      <c r="B85" s="109" t="s">
        <v>231</v>
      </c>
      <c r="C85" s="290" t="s">
        <v>238</v>
      </c>
      <c r="D85" s="102" t="s">
        <v>237</v>
      </c>
      <c r="E85" s="789" t="s">
        <v>689</v>
      </c>
      <c r="F85" s="608"/>
      <c r="G85" s="608" t="s">
        <v>690</v>
      </c>
      <c r="H85" s="608"/>
      <c r="I85" s="331" t="s">
        <v>691</v>
      </c>
      <c r="J85" s="332" t="s">
        <v>692</v>
      </c>
      <c r="K85" s="291" t="s">
        <v>239</v>
      </c>
      <c r="L85" s="291" t="s">
        <v>240</v>
      </c>
      <c r="M85" s="803" t="s">
        <v>693</v>
      </c>
      <c r="N85" s="803"/>
      <c r="O85" s="286" t="s">
        <v>241</v>
      </c>
      <c r="P85" s="286" t="s">
        <v>242</v>
      </c>
      <c r="Q85" s="102" t="s">
        <v>243</v>
      </c>
      <c r="R85" s="289"/>
      <c r="S85" s="289"/>
      <c r="T85" s="289"/>
      <c r="U85" s="547"/>
      <c r="V85" s="548"/>
      <c r="W85" s="548"/>
      <c r="X85" s="548"/>
      <c r="Y85" s="548"/>
      <c r="Z85" s="548"/>
      <c r="AA85" s="548"/>
      <c r="AB85" s="548"/>
      <c r="AC85" s="548"/>
      <c r="AD85" s="549"/>
      <c r="AE85" s="237"/>
      <c r="AF85" s="201"/>
      <c r="AG85" s="201"/>
      <c r="AH85" s="201"/>
      <c r="AI85" s="201"/>
      <c r="AJ85" s="201"/>
      <c r="AK85" s="201"/>
      <c r="AL85" s="201"/>
      <c r="AM85" s="201"/>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row>
    <row r="86" spans="1:79">
      <c r="A86" s="88">
        <v>1</v>
      </c>
      <c r="B86" s="154" t="s">
        <v>305</v>
      </c>
      <c r="C86" s="148" t="s">
        <v>245</v>
      </c>
      <c r="D86" s="149" t="s">
        <v>244</v>
      </c>
      <c r="E86" s="620" t="s">
        <v>610</v>
      </c>
      <c r="F86" s="621"/>
      <c r="G86" s="621" t="s">
        <v>601</v>
      </c>
      <c r="H86" s="621"/>
      <c r="I86" s="155" t="s">
        <v>246</v>
      </c>
      <c r="J86" s="149" t="s">
        <v>615</v>
      </c>
      <c r="K86" s="295" t="str">
        <f>IFERROR(sys!T204,"-")</f>
        <v>-</v>
      </c>
      <c r="L86" s="292" t="s">
        <v>246</v>
      </c>
      <c r="M86" s="554"/>
      <c r="N86" s="554"/>
      <c r="O86" s="155"/>
      <c r="P86" s="155" t="str">
        <f>I86</f>
        <v>-</v>
      </c>
      <c r="Q86" s="149">
        <v>1</v>
      </c>
      <c r="R86" s="289"/>
      <c r="S86" s="289"/>
      <c r="T86" s="289"/>
      <c r="U86" s="547"/>
      <c r="V86" s="548"/>
      <c r="W86" s="548"/>
      <c r="X86" s="548"/>
      <c r="Y86" s="548"/>
      <c r="Z86" s="548"/>
      <c r="AA86" s="548"/>
      <c r="AB86" s="548"/>
      <c r="AC86" s="548"/>
      <c r="AD86" s="549"/>
      <c r="AE86" s="237"/>
      <c r="AF86" s="201"/>
      <c r="AG86" s="201"/>
      <c r="AH86" s="201"/>
      <c r="AI86" s="201"/>
      <c r="AJ86" s="201"/>
      <c r="AK86" s="201"/>
      <c r="AL86" s="201"/>
      <c r="AM86" s="201"/>
      <c r="AN86" s="213"/>
      <c r="AO86" s="213"/>
      <c r="AP86" s="213"/>
      <c r="AQ86" s="213"/>
      <c r="AR86" s="213"/>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13"/>
      <c r="BZ86" s="213"/>
      <c r="CA86" s="213"/>
    </row>
    <row r="87" spans="1:79">
      <c r="A87" s="91">
        <v>2</v>
      </c>
      <c r="B87" s="156" t="s">
        <v>305</v>
      </c>
      <c r="C87" s="152" t="s">
        <v>245</v>
      </c>
      <c r="D87" s="153" t="s">
        <v>244</v>
      </c>
      <c r="E87" s="622" t="s">
        <v>610</v>
      </c>
      <c r="F87" s="623"/>
      <c r="G87" s="623" t="s">
        <v>601</v>
      </c>
      <c r="H87" s="623"/>
      <c r="I87" s="157" t="s">
        <v>246</v>
      </c>
      <c r="J87" s="153" t="s">
        <v>615</v>
      </c>
      <c r="K87" s="296" t="str">
        <f>IFERROR(sys!T211,"-")</f>
        <v>-</v>
      </c>
      <c r="L87" s="293" t="s">
        <v>246</v>
      </c>
      <c r="M87" s="470"/>
      <c r="N87" s="470"/>
      <c r="O87" s="157"/>
      <c r="P87" s="157" t="str">
        <f>I87</f>
        <v>-</v>
      </c>
      <c r="Q87" s="294" t="s">
        <v>246</v>
      </c>
      <c r="R87" s="289"/>
      <c r="S87" s="289"/>
      <c r="T87" s="289"/>
      <c r="U87" s="547"/>
      <c r="V87" s="548"/>
      <c r="W87" s="548"/>
      <c r="X87" s="548"/>
      <c r="Y87" s="548"/>
      <c r="Z87" s="548"/>
      <c r="AA87" s="548"/>
      <c r="AB87" s="548"/>
      <c r="AC87" s="548"/>
      <c r="AD87" s="549"/>
      <c r="AE87" s="237"/>
      <c r="AF87" s="201"/>
      <c r="AG87" s="201"/>
      <c r="AH87" s="201"/>
      <c r="AI87" s="201"/>
      <c r="AJ87" s="201"/>
      <c r="AK87" s="201"/>
      <c r="AL87" s="201"/>
      <c r="AM87" s="201"/>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c r="BU87" s="213"/>
      <c r="BV87" s="213"/>
      <c r="BW87" s="213"/>
      <c r="BX87" s="213"/>
      <c r="BY87" s="213"/>
      <c r="BZ87" s="213"/>
      <c r="CA87" s="213"/>
    </row>
    <row r="88" spans="1:79">
      <c r="E88" s="103"/>
      <c r="F88" s="104"/>
      <c r="G88" s="104"/>
      <c r="H88" s="627"/>
      <c r="I88" s="627"/>
      <c r="J88" s="104"/>
      <c r="K88" s="104"/>
      <c r="L88" s="115"/>
      <c r="N88" s="287"/>
      <c r="O88" s="571"/>
      <c r="P88" s="571"/>
      <c r="Q88" s="571"/>
      <c r="R88" s="571"/>
      <c r="S88" s="571"/>
      <c r="T88" s="105" t="s">
        <v>348</v>
      </c>
      <c r="AE88" s="237"/>
      <c r="AF88" s="201"/>
      <c r="AG88" s="201"/>
      <c r="AH88" s="201"/>
      <c r="AI88" s="201"/>
      <c r="AJ88" s="201"/>
      <c r="AK88" s="201"/>
      <c r="AL88" s="201"/>
      <c r="AM88" s="201"/>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3"/>
      <c r="BR88" s="213"/>
      <c r="BS88" s="213"/>
      <c r="BT88" s="213"/>
      <c r="BU88" s="213"/>
      <c r="BV88" s="213"/>
      <c r="BW88" s="213"/>
      <c r="BX88" s="213"/>
      <c r="BY88" s="213"/>
      <c r="BZ88" s="213"/>
      <c r="CA88" s="213"/>
    </row>
    <row r="89" spans="1:79" ht="14.4" customHeight="1">
      <c r="A89" s="606" t="s">
        <v>372</v>
      </c>
      <c r="B89" s="607"/>
      <c r="C89" s="607"/>
      <c r="E89" s="517" t="s">
        <v>335</v>
      </c>
      <c r="F89" s="518"/>
      <c r="G89" s="518"/>
      <c r="H89" s="519"/>
      <c r="M89" s="566" t="str">
        <f>IF(G91=0,"ΜΟΝΟ ΘΕΩΡ. ΣΥΣΤ.","ΕΠΙΠΛΕΟΝ ΘΕΩΡ. ΣΥΣΤ.")</f>
        <v>ΜΟΝΟ ΘΕΩΡ. ΣΥΣΤ.</v>
      </c>
      <c r="N89" s="567"/>
      <c r="O89" s="568"/>
      <c r="P89" s="107" t="s">
        <v>338</v>
      </c>
      <c r="Q89" s="158" t="s">
        <v>314</v>
      </c>
      <c r="R89" s="108" t="s">
        <v>339</v>
      </c>
      <c r="S89" s="159" t="s">
        <v>314</v>
      </c>
      <c r="T89" s="160" t="s">
        <v>314</v>
      </c>
      <c r="U89" s="508" t="s">
        <v>374</v>
      </c>
      <c r="V89" s="508"/>
      <c r="W89" s="508"/>
      <c r="X89" s="508"/>
      <c r="Y89" s="508"/>
      <c r="Z89" s="508"/>
      <c r="AA89" s="508"/>
      <c r="AB89" s="508"/>
      <c r="AC89" s="508"/>
      <c r="AD89" s="509"/>
      <c r="AE89" s="237"/>
      <c r="AF89" s="201"/>
      <c r="AG89" s="201"/>
      <c r="AH89" s="201"/>
      <c r="AI89" s="201"/>
      <c r="AJ89" s="201"/>
      <c r="AK89" s="201"/>
      <c r="AL89" s="201"/>
      <c r="AM89" s="201"/>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13"/>
      <c r="BZ89" s="213"/>
      <c r="CA89" s="213"/>
    </row>
    <row r="90" spans="1:79">
      <c r="A90" s="86"/>
      <c r="B90" s="608" t="s">
        <v>316</v>
      </c>
      <c r="C90" s="609"/>
      <c r="D90" s="95" t="s">
        <v>315</v>
      </c>
      <c r="E90" s="517" t="s">
        <v>318</v>
      </c>
      <c r="F90" s="519"/>
      <c r="G90" s="517" t="s">
        <v>317</v>
      </c>
      <c r="H90" s="519"/>
      <c r="I90" s="517" t="s">
        <v>334</v>
      </c>
      <c r="J90" s="519"/>
      <c r="K90" s="517" t="s">
        <v>333</v>
      </c>
      <c r="L90" s="519"/>
      <c r="M90" s="545" t="s">
        <v>337</v>
      </c>
      <c r="N90" s="546"/>
      <c r="O90" s="110" t="s">
        <v>336</v>
      </c>
      <c r="P90" s="111" t="s">
        <v>340</v>
      </c>
      <c r="Q90" s="112" t="s">
        <v>341</v>
      </c>
      <c r="R90" s="111" t="s">
        <v>342</v>
      </c>
      <c r="S90" s="106" t="s">
        <v>343</v>
      </c>
      <c r="T90" s="177" t="s">
        <v>347</v>
      </c>
      <c r="U90" s="508"/>
      <c r="V90" s="508"/>
      <c r="W90" s="508"/>
      <c r="X90" s="508"/>
      <c r="Y90" s="508"/>
      <c r="Z90" s="508"/>
      <c r="AA90" s="508"/>
      <c r="AB90" s="508"/>
      <c r="AC90" s="508"/>
      <c r="AD90" s="509"/>
      <c r="AE90" s="237"/>
      <c r="AF90" s="201"/>
      <c r="AG90" s="201"/>
      <c r="AH90" s="201"/>
      <c r="AI90" s="201"/>
      <c r="AJ90" s="201"/>
      <c r="AK90" s="201"/>
      <c r="AL90" s="201"/>
      <c r="AM90" s="201"/>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3"/>
      <c r="BT90" s="213"/>
      <c r="BU90" s="213"/>
      <c r="BV90" s="213"/>
      <c r="BW90" s="213"/>
      <c r="BX90" s="213"/>
      <c r="BY90" s="213"/>
      <c r="BZ90" s="213"/>
      <c r="CA90" s="213"/>
    </row>
    <row r="91" spans="1:79">
      <c r="A91" s="88">
        <v>1</v>
      </c>
      <c r="B91" s="635" t="s">
        <v>290</v>
      </c>
      <c r="C91" s="636"/>
      <c r="D91" s="161"/>
      <c r="E91" s="630">
        <f>INDEX(sys!$J$50:$J$92,MATCH(ΥΠΟΛΟΓΙΣΜΟΙ!B91,sys!$B$50:$B$92,0))*D91</f>
        <v>0</v>
      </c>
      <c r="F91" s="631"/>
      <c r="G91" s="625"/>
      <c r="H91" s="626"/>
      <c r="I91" s="531"/>
      <c r="J91" s="532"/>
      <c r="K91" s="541" t="str">
        <f>IFERROR(I91/(G91/3600)," ")</f>
        <v xml:space="preserve"> </v>
      </c>
      <c r="L91" s="542"/>
      <c r="M91" s="550" t="str">
        <f>IF(B91="μονοκατοικια, πολυκατοικια","OXI",IF((E91-G91)&gt;0,E91-G91,"OXI"))</f>
        <v>OXI</v>
      </c>
      <c r="N91" s="551"/>
      <c r="O91" s="113" t="str">
        <f>IF(M91="OXI"," ",1)</f>
        <v xml:space="preserve"> </v>
      </c>
      <c r="P91" s="162">
        <v>0</v>
      </c>
      <c r="Q91" s="147">
        <v>0</v>
      </c>
      <c r="R91" s="162">
        <v>0</v>
      </c>
      <c r="S91" s="149">
        <v>0</v>
      </c>
      <c r="T91" s="162">
        <v>0</v>
      </c>
      <c r="U91" s="508"/>
      <c r="V91" s="508"/>
      <c r="W91" s="508"/>
      <c r="X91" s="508"/>
      <c r="Y91" s="508"/>
      <c r="Z91" s="508"/>
      <c r="AA91" s="508"/>
      <c r="AB91" s="508"/>
      <c r="AC91" s="508"/>
      <c r="AD91" s="509"/>
      <c r="AE91" s="237"/>
      <c r="AF91" s="201"/>
      <c r="AG91" s="201"/>
      <c r="AH91" s="201"/>
      <c r="AI91" s="201"/>
      <c r="AJ91" s="201"/>
      <c r="AK91" s="201"/>
      <c r="AL91" s="201"/>
      <c r="AM91" s="201"/>
      <c r="AN91" s="213"/>
      <c r="AO91" s="213"/>
      <c r="AP91" s="213"/>
      <c r="AQ91" s="213"/>
      <c r="AR91" s="213"/>
      <c r="AS91" s="213"/>
      <c r="AT91" s="213"/>
      <c r="AU91" s="213"/>
      <c r="AV91" s="213"/>
      <c r="AW91" s="213"/>
      <c r="AX91" s="213"/>
      <c r="AY91" s="213"/>
      <c r="AZ91" s="213"/>
      <c r="BA91" s="213"/>
      <c r="BB91" s="213"/>
      <c r="BC91" s="213"/>
      <c r="BD91" s="213"/>
      <c r="BE91" s="213"/>
      <c r="BF91" s="213"/>
      <c r="BG91" s="213"/>
      <c r="BH91" s="213"/>
      <c r="BI91" s="213"/>
      <c r="BJ91" s="213"/>
      <c r="BK91" s="213"/>
      <c r="BL91" s="213"/>
      <c r="BM91" s="213"/>
      <c r="BN91" s="213"/>
      <c r="BO91" s="213"/>
      <c r="BP91" s="213"/>
      <c r="BQ91" s="213"/>
      <c r="BR91" s="213"/>
      <c r="BS91" s="213"/>
      <c r="BT91" s="213"/>
      <c r="BU91" s="213"/>
      <c r="BV91" s="213"/>
      <c r="BW91" s="213"/>
      <c r="BX91" s="213"/>
      <c r="BY91" s="213"/>
      <c r="BZ91" s="213"/>
      <c r="CA91" s="213"/>
    </row>
    <row r="92" spans="1:79">
      <c r="A92" s="91">
        <v>2</v>
      </c>
      <c r="B92" s="604" t="s">
        <v>290</v>
      </c>
      <c r="C92" s="605"/>
      <c r="D92" s="163"/>
      <c r="E92" s="628">
        <f>INDEX(sys!$J$50:$J$92,MATCH(ΥΠΟΛΟΓΙΣΜΟΙ!B92,sys!$B$50:$B$92,0))*D92</f>
        <v>0</v>
      </c>
      <c r="F92" s="629"/>
      <c r="G92" s="577"/>
      <c r="H92" s="578"/>
      <c r="I92" s="587"/>
      <c r="J92" s="588"/>
      <c r="K92" s="543" t="str">
        <f>IFERROR(I92/(G92/3600)," ")</f>
        <v xml:space="preserve"> </v>
      </c>
      <c r="L92" s="544"/>
      <c r="M92" s="589" t="str">
        <f>IF(B92="μονοκατοικια, πολυκατοικια","OXI",IF((E92-G92)&gt;0,E92-G92,"OXI"))</f>
        <v>OXI</v>
      </c>
      <c r="N92" s="590"/>
      <c r="O92" s="114" t="str">
        <f>IF(M92="OXI"," ",1)</f>
        <v xml:space="preserve"> </v>
      </c>
      <c r="P92" s="164">
        <v>0</v>
      </c>
      <c r="Q92" s="151">
        <v>0</v>
      </c>
      <c r="R92" s="164">
        <v>0</v>
      </c>
      <c r="S92" s="153">
        <v>0</v>
      </c>
      <c r="T92" s="164">
        <v>0</v>
      </c>
      <c r="U92" s="508"/>
      <c r="V92" s="508"/>
      <c r="W92" s="508"/>
      <c r="X92" s="508"/>
      <c r="Y92" s="508"/>
      <c r="Z92" s="508"/>
      <c r="AA92" s="508"/>
      <c r="AB92" s="508"/>
      <c r="AC92" s="508"/>
      <c r="AD92" s="509"/>
      <c r="AE92" s="237"/>
      <c r="AF92" s="201"/>
      <c r="AG92" s="201"/>
      <c r="AH92" s="201"/>
      <c r="AI92" s="201"/>
      <c r="AJ92" s="201"/>
      <c r="AK92" s="201"/>
      <c r="AL92" s="201"/>
      <c r="AM92" s="201"/>
      <c r="AN92" s="213"/>
      <c r="AO92" s="213"/>
      <c r="AP92" s="213"/>
      <c r="AQ92" s="213"/>
      <c r="AR92" s="213"/>
      <c r="AS92" s="213"/>
      <c r="AT92" s="213"/>
      <c r="AU92" s="213"/>
      <c r="AV92" s="213"/>
      <c r="AW92" s="213"/>
      <c r="AX92" s="213"/>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c r="BU92" s="213"/>
      <c r="BV92" s="213"/>
      <c r="BW92" s="213"/>
      <c r="BX92" s="213"/>
      <c r="BY92" s="213"/>
      <c r="BZ92" s="213"/>
      <c r="CA92" s="213"/>
    </row>
    <row r="93" spans="1:79">
      <c r="D93" s="46"/>
      <c r="S93" s="115"/>
      <c r="T93" s="115"/>
      <c r="U93" s="510"/>
      <c r="V93" s="508"/>
      <c r="W93" s="508"/>
      <c r="X93" s="508"/>
      <c r="Y93" s="508"/>
      <c r="Z93" s="508"/>
      <c r="AA93" s="508"/>
      <c r="AB93" s="508"/>
      <c r="AC93" s="508"/>
      <c r="AD93" s="509"/>
      <c r="AE93" s="237"/>
      <c r="AF93" s="201"/>
      <c r="AG93" s="201"/>
      <c r="AH93" s="201"/>
      <c r="AI93" s="201"/>
      <c r="AJ93" s="201"/>
      <c r="AK93" s="201"/>
      <c r="AL93" s="201"/>
      <c r="AM93" s="201"/>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c r="BU93" s="213"/>
      <c r="BV93" s="213"/>
      <c r="BW93" s="213"/>
      <c r="BX93" s="213"/>
      <c r="BY93" s="213"/>
      <c r="BZ93" s="213"/>
      <c r="CA93" s="213"/>
    </row>
    <row r="94" spans="1:79">
      <c r="A94" s="606" t="s">
        <v>436</v>
      </c>
      <c r="B94" s="607"/>
      <c r="C94" s="607"/>
      <c r="D94" s="46"/>
      <c r="E94" s="494" t="s">
        <v>331</v>
      </c>
      <c r="F94" s="484"/>
      <c r="G94" s="494" t="s">
        <v>321</v>
      </c>
      <c r="H94" s="490"/>
      <c r="I94" s="494" t="s">
        <v>323</v>
      </c>
      <c r="J94" s="490"/>
      <c r="K94" s="494" t="s">
        <v>324</v>
      </c>
      <c r="L94" s="490"/>
      <c r="M94" s="494" t="s">
        <v>327</v>
      </c>
      <c r="N94" s="490"/>
      <c r="O94" s="517" t="s">
        <v>435</v>
      </c>
      <c r="P94" s="518"/>
      <c r="Q94" s="519"/>
      <c r="R94" s="116"/>
      <c r="S94" s="34"/>
      <c r="T94" s="34"/>
      <c r="U94" s="527" t="s">
        <v>373</v>
      </c>
      <c r="V94" s="528"/>
      <c r="W94" s="528"/>
      <c r="X94" s="528"/>
      <c r="Y94" s="528"/>
      <c r="Z94" s="528"/>
      <c r="AA94" s="528"/>
      <c r="AB94" s="528"/>
      <c r="AC94" s="528"/>
      <c r="AD94" s="529"/>
      <c r="AE94" s="237"/>
      <c r="AF94" s="201"/>
      <c r="AG94" s="201"/>
      <c r="AH94" s="201"/>
      <c r="AI94" s="201"/>
      <c r="AJ94" s="201"/>
      <c r="AK94" s="201"/>
      <c r="AL94" s="201"/>
      <c r="AM94" s="201"/>
      <c r="AN94" s="213"/>
      <c r="AO94" s="213"/>
      <c r="AP94" s="213"/>
      <c r="AQ94" s="213"/>
      <c r="AR94" s="213"/>
      <c r="AS94" s="213"/>
      <c r="AT94" s="213"/>
      <c r="AU94" s="213"/>
      <c r="AV94" s="213"/>
      <c r="AW94" s="213"/>
      <c r="AX94" s="213"/>
      <c r="AY94" s="213"/>
      <c r="AZ94" s="213"/>
      <c r="BA94" s="213"/>
      <c r="BB94" s="213"/>
      <c r="BC94" s="213"/>
      <c r="BD94" s="213"/>
      <c r="BE94" s="213"/>
      <c r="BF94" s="213"/>
      <c r="BG94" s="213"/>
      <c r="BH94" s="213"/>
      <c r="BI94" s="213"/>
      <c r="BJ94" s="213"/>
      <c r="BK94" s="213"/>
      <c r="BL94" s="213"/>
      <c r="BM94" s="213"/>
      <c r="BN94" s="213"/>
      <c r="BO94" s="213"/>
      <c r="BP94" s="213"/>
      <c r="BQ94" s="213"/>
      <c r="BR94" s="213"/>
      <c r="BS94" s="213"/>
      <c r="BT94" s="213"/>
      <c r="BU94" s="213"/>
      <c r="BV94" s="213"/>
      <c r="BW94" s="213"/>
      <c r="BX94" s="213"/>
      <c r="BY94" s="213"/>
      <c r="BZ94" s="213"/>
      <c r="CA94" s="213"/>
    </row>
    <row r="95" spans="1:79">
      <c r="A95" s="86"/>
      <c r="B95" s="608" t="s">
        <v>316</v>
      </c>
      <c r="C95" s="609"/>
      <c r="D95" s="95" t="s">
        <v>315</v>
      </c>
      <c r="E95" s="579" t="s">
        <v>319</v>
      </c>
      <c r="F95" s="619"/>
      <c r="G95" s="579" t="s">
        <v>320</v>
      </c>
      <c r="H95" s="580"/>
      <c r="I95" s="579" t="s">
        <v>322</v>
      </c>
      <c r="J95" s="580"/>
      <c r="K95" s="579" t="s">
        <v>325</v>
      </c>
      <c r="L95" s="580"/>
      <c r="M95" s="579" t="s">
        <v>326</v>
      </c>
      <c r="N95" s="580"/>
      <c r="O95" s="515" t="s">
        <v>330</v>
      </c>
      <c r="P95" s="516"/>
      <c r="Q95" s="117" t="s">
        <v>329</v>
      </c>
      <c r="S95" s="34"/>
      <c r="T95" s="34"/>
      <c r="U95" s="505" t="s">
        <v>350</v>
      </c>
      <c r="V95" s="506"/>
      <c r="W95" s="506"/>
      <c r="X95" s="506"/>
      <c r="Y95" s="506"/>
      <c r="Z95" s="506"/>
      <c r="AA95" s="506"/>
      <c r="AB95" s="506"/>
      <c r="AC95" s="506"/>
      <c r="AD95" s="507"/>
      <c r="AE95" s="237"/>
      <c r="AF95" s="201"/>
      <c r="AG95" s="201"/>
      <c r="AH95" s="201"/>
      <c r="AI95" s="201"/>
      <c r="AJ95" s="201"/>
      <c r="AK95" s="201"/>
      <c r="AL95" s="201"/>
      <c r="AM95" s="201"/>
      <c r="AN95" s="213"/>
      <c r="AO95" s="213"/>
      <c r="AP95" s="213"/>
      <c r="AQ95" s="213"/>
      <c r="AR95" s="213"/>
      <c r="AS95" s="213"/>
      <c r="AT95" s="213"/>
      <c r="AU95" s="213"/>
      <c r="AV95" s="213"/>
      <c r="AW95" s="213"/>
      <c r="AX95" s="213"/>
      <c r="AY95" s="213"/>
      <c r="AZ95" s="213"/>
      <c r="BA95" s="213"/>
      <c r="BB95" s="213"/>
      <c r="BC95" s="213"/>
      <c r="BD95" s="213"/>
      <c r="BE95" s="213"/>
      <c r="BF95" s="213"/>
      <c r="BG95" s="213"/>
      <c r="BH95" s="213"/>
      <c r="BI95" s="213"/>
      <c r="BJ95" s="213"/>
      <c r="BK95" s="213"/>
      <c r="BL95" s="213"/>
      <c r="BM95" s="213"/>
      <c r="BN95" s="213"/>
      <c r="BO95" s="213"/>
      <c r="BP95" s="213"/>
      <c r="BQ95" s="213"/>
      <c r="BR95" s="213"/>
      <c r="BS95" s="213"/>
      <c r="BT95" s="213"/>
      <c r="BU95" s="213"/>
      <c r="BV95" s="213"/>
      <c r="BW95" s="213"/>
      <c r="BX95" s="213"/>
      <c r="BY95" s="213"/>
      <c r="BZ95" s="213"/>
      <c r="CA95" s="213"/>
    </row>
    <row r="96" spans="1:79">
      <c r="A96" s="88">
        <v>1</v>
      </c>
      <c r="B96" s="635" t="s">
        <v>290</v>
      </c>
      <c r="C96" s="636"/>
      <c r="D96" s="165"/>
      <c r="E96" s="585">
        <f>INDEX(sys!$K$50:$K$92,MATCH(ΥΠΟΛΟΓΙΣΜΟΙ!B96,sys!$B$50:$B$92,0))*D96</f>
        <v>0</v>
      </c>
      <c r="F96" s="586"/>
      <c r="G96" s="597"/>
      <c r="H96" s="598"/>
      <c r="I96" s="523"/>
      <c r="J96" s="524"/>
      <c r="K96" s="615">
        <f>IFERROR(IF((E96-I96)&gt;0,(E96-I96)*(G96/I96),0),0)</f>
        <v>0</v>
      </c>
      <c r="L96" s="616"/>
      <c r="M96" s="525">
        <f>G96+K96</f>
        <v>0</v>
      </c>
      <c r="N96" s="526"/>
      <c r="O96" s="520"/>
      <c r="P96" s="521"/>
      <c r="Q96" s="118">
        <f>IFERROR((O96/D96)*100,0)</f>
        <v>0</v>
      </c>
      <c r="S96" s="34"/>
      <c r="T96" s="34"/>
      <c r="U96" s="530" t="s">
        <v>344</v>
      </c>
      <c r="V96" s="506"/>
      <c r="W96" s="506"/>
      <c r="X96" s="506"/>
      <c r="Y96" s="506"/>
      <c r="Z96" s="506"/>
      <c r="AA96" s="506"/>
      <c r="AB96" s="506"/>
      <c r="AC96" s="506"/>
      <c r="AD96" s="507"/>
      <c r="AE96" s="237"/>
      <c r="AF96" s="201"/>
      <c r="AG96" s="201"/>
      <c r="AH96" s="201"/>
      <c r="AI96" s="201"/>
      <c r="AJ96" s="201"/>
      <c r="AK96" s="201"/>
      <c r="AL96" s="201"/>
      <c r="AM96" s="201"/>
      <c r="AN96" s="213"/>
      <c r="AO96" s="213"/>
      <c r="AP96" s="213"/>
      <c r="AQ96" s="213"/>
      <c r="AR96" s="213"/>
      <c r="AS96" s="213"/>
      <c r="AT96" s="213"/>
      <c r="AU96" s="213"/>
      <c r="AV96" s="213"/>
      <c r="AW96" s="213"/>
      <c r="AX96" s="213"/>
      <c r="AY96" s="213"/>
      <c r="AZ96" s="213"/>
      <c r="BA96" s="213"/>
      <c r="BB96" s="213"/>
      <c r="BC96" s="213"/>
      <c r="BD96" s="213"/>
      <c r="BE96" s="213"/>
      <c r="BF96" s="213"/>
      <c r="BG96" s="213"/>
      <c r="BH96" s="213"/>
      <c r="BI96" s="213"/>
      <c r="BJ96" s="213"/>
      <c r="BK96" s="213"/>
      <c r="BL96" s="213"/>
      <c r="BM96" s="213"/>
      <c r="BN96" s="213"/>
      <c r="BO96" s="213"/>
      <c r="BP96" s="213"/>
      <c r="BQ96" s="213"/>
      <c r="BR96" s="213"/>
      <c r="BS96" s="213"/>
      <c r="BT96" s="213"/>
      <c r="BU96" s="213"/>
      <c r="BV96" s="213"/>
      <c r="BW96" s="213"/>
      <c r="BX96" s="213"/>
      <c r="BY96" s="213"/>
      <c r="BZ96" s="213"/>
      <c r="CA96" s="213"/>
    </row>
    <row r="97" spans="1:79">
      <c r="A97" s="89">
        <v>2</v>
      </c>
      <c r="B97" s="613" t="s">
        <v>290</v>
      </c>
      <c r="C97" s="614"/>
      <c r="D97" s="165"/>
      <c r="E97" s="583">
        <f>INDEX(sys!$K$50:$K$92,MATCH(ΥΠΟΛΟΓΙΣΜΟΙ!B97,sys!$B$50:$B$92,0))*D97</f>
        <v>0</v>
      </c>
      <c r="F97" s="584"/>
      <c r="G97" s="597"/>
      <c r="H97" s="598"/>
      <c r="I97" s="523"/>
      <c r="J97" s="524"/>
      <c r="K97" s="581">
        <f>IFERROR(IF((E97-I97)&gt;0,(E97-I97)*(G97/I97),0),0)</f>
        <v>0</v>
      </c>
      <c r="L97" s="582"/>
      <c r="M97" s="552">
        <f>G97+K97</f>
        <v>0</v>
      </c>
      <c r="N97" s="553"/>
      <c r="O97" s="520"/>
      <c r="P97" s="521"/>
      <c r="Q97" s="119">
        <f>IFERROR((O97/D97)*100,0)</f>
        <v>0</v>
      </c>
      <c r="S97" s="34"/>
      <c r="T97" s="34"/>
      <c r="U97" s="505" t="s">
        <v>345</v>
      </c>
      <c r="V97" s="506"/>
      <c r="W97" s="506"/>
      <c r="X97" s="506"/>
      <c r="Y97" s="506"/>
      <c r="Z97" s="506"/>
      <c r="AA97" s="506"/>
      <c r="AB97" s="506"/>
      <c r="AC97" s="506"/>
      <c r="AD97" s="507"/>
      <c r="AE97" s="237"/>
      <c r="AF97" s="201"/>
      <c r="AG97" s="201"/>
      <c r="AH97" s="201"/>
      <c r="AI97" s="201"/>
      <c r="AJ97" s="201"/>
      <c r="AK97" s="201"/>
      <c r="AL97" s="201"/>
      <c r="AM97" s="201"/>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c r="BO97" s="213"/>
      <c r="BP97" s="213"/>
      <c r="BQ97" s="213"/>
      <c r="BR97" s="213"/>
      <c r="BS97" s="213"/>
      <c r="BT97" s="213"/>
      <c r="BU97" s="213"/>
      <c r="BV97" s="213"/>
      <c r="BW97" s="213"/>
      <c r="BX97" s="213"/>
      <c r="BY97" s="213"/>
      <c r="BZ97" s="213"/>
      <c r="CA97" s="213"/>
    </row>
    <row r="98" spans="1:79">
      <c r="A98" s="91">
        <v>3</v>
      </c>
      <c r="B98" s="604" t="s">
        <v>290</v>
      </c>
      <c r="C98" s="605"/>
      <c r="D98" s="166"/>
      <c r="E98" s="610">
        <f>INDEX(sys!$K$50:$K$92,MATCH(ΥΠΟΛΟΓΙΣΜΟΙ!B98,sys!$B$50:$B$92,0))*D98</f>
        <v>0</v>
      </c>
      <c r="F98" s="611"/>
      <c r="G98" s="612"/>
      <c r="H98" s="598"/>
      <c r="I98" s="523"/>
      <c r="J98" s="524"/>
      <c r="K98" s="581">
        <f>IFERROR(IF((E98-I98)&gt;0,(E98-I98)*(G98/I98),0),0)</f>
        <v>0</v>
      </c>
      <c r="L98" s="582"/>
      <c r="M98" s="633">
        <f>G98+K98</f>
        <v>0</v>
      </c>
      <c r="N98" s="634"/>
      <c r="O98" s="595"/>
      <c r="P98" s="596"/>
      <c r="Q98" s="119">
        <f>IFERROR((O98/D98)*100,0)</f>
        <v>0</v>
      </c>
      <c r="S98" s="34"/>
      <c r="T98" s="34"/>
      <c r="U98" s="502" t="s">
        <v>346</v>
      </c>
      <c r="V98" s="503"/>
      <c r="W98" s="503"/>
      <c r="X98" s="503"/>
      <c r="Y98" s="503"/>
      <c r="Z98" s="503"/>
      <c r="AA98" s="503"/>
      <c r="AB98" s="503"/>
      <c r="AC98" s="503"/>
      <c r="AD98" s="504"/>
      <c r="AE98" s="237"/>
      <c r="AF98" s="201"/>
      <c r="AG98" s="201"/>
      <c r="AH98" s="201"/>
      <c r="AI98" s="201"/>
      <c r="AJ98" s="201"/>
      <c r="AK98" s="201"/>
      <c r="AL98" s="201"/>
      <c r="AM98" s="201"/>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3"/>
      <c r="BR98" s="213"/>
      <c r="BS98" s="213"/>
      <c r="BT98" s="213"/>
      <c r="BU98" s="213"/>
      <c r="BV98" s="213"/>
      <c r="BW98" s="213"/>
      <c r="BX98" s="213"/>
      <c r="BY98" s="213"/>
      <c r="BZ98" s="213"/>
      <c r="CA98" s="213"/>
    </row>
    <row r="99" spans="1:79">
      <c r="A99" s="120"/>
      <c r="B99" s="120"/>
      <c r="C99" s="120"/>
      <c r="D99" s="120"/>
      <c r="E99" s="120"/>
      <c r="F99" s="120"/>
      <c r="G99" s="120"/>
      <c r="H99" s="511" t="s">
        <v>328</v>
      </c>
      <c r="I99" s="511"/>
      <c r="J99" s="511"/>
      <c r="K99" s="511"/>
      <c r="L99" s="512"/>
      <c r="M99" s="513">
        <f>SUM(M96:N98)</f>
        <v>0</v>
      </c>
      <c r="N99" s="514"/>
      <c r="O99" s="592" t="s">
        <v>388</v>
      </c>
      <c r="P99" s="593"/>
      <c r="Q99" s="189" t="str">
        <f>IFERROR(100*(O96+O97+O98)/(D96+D97+D98),"0")</f>
        <v>0</v>
      </c>
      <c r="R99" s="120"/>
      <c r="S99" s="594" t="s">
        <v>352</v>
      </c>
      <c r="T99" s="594"/>
      <c r="U99" s="505" t="s">
        <v>332</v>
      </c>
      <c r="V99" s="506"/>
      <c r="W99" s="506"/>
      <c r="X99" s="506"/>
      <c r="Y99" s="506"/>
      <c r="Z99" s="506"/>
      <c r="AA99" s="506"/>
      <c r="AB99" s="506"/>
      <c r="AC99" s="506"/>
      <c r="AD99" s="507"/>
      <c r="AE99" s="237"/>
      <c r="AF99" s="201"/>
      <c r="AG99" s="201"/>
      <c r="AH99" s="201"/>
      <c r="AI99" s="201"/>
      <c r="AJ99" s="201"/>
      <c r="AK99" s="201"/>
      <c r="AL99" s="201"/>
      <c r="AM99" s="201"/>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row>
    <row r="100" spans="1:79">
      <c r="U100" s="121"/>
      <c r="AE100" s="237"/>
      <c r="AF100" s="201"/>
      <c r="AG100" s="201"/>
      <c r="AH100" s="201"/>
      <c r="AI100" s="201"/>
      <c r="AJ100" s="201"/>
      <c r="AK100" s="201"/>
      <c r="AL100" s="201"/>
      <c r="AM100" s="201"/>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row>
    <row r="101" spans="1:79" ht="14.4" customHeight="1">
      <c r="U101" s="522" t="s">
        <v>387</v>
      </c>
      <c r="V101" s="522"/>
      <c r="W101" s="522"/>
      <c r="X101" s="522"/>
      <c r="AE101" s="237"/>
      <c r="AF101" s="201"/>
      <c r="AG101" s="201"/>
      <c r="AH101" s="201"/>
      <c r="AI101" s="201"/>
      <c r="AJ101" s="201"/>
      <c r="AK101" s="201"/>
      <c r="AL101" s="201"/>
      <c r="AM101" s="201"/>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c r="BO101" s="213"/>
      <c r="BP101" s="213"/>
      <c r="BQ101" s="213"/>
      <c r="BR101" s="213"/>
      <c r="BS101" s="213"/>
      <c r="BT101" s="213"/>
      <c r="BU101" s="213"/>
      <c r="BV101" s="213"/>
      <c r="BW101" s="213"/>
      <c r="BX101" s="213"/>
      <c r="BY101" s="213"/>
      <c r="BZ101" s="213"/>
      <c r="CA101" s="213"/>
    </row>
    <row r="102" spans="1:79" ht="15.6">
      <c r="A102" s="600" t="s">
        <v>351</v>
      </c>
      <c r="B102" s="600"/>
      <c r="C102" s="600"/>
      <c r="D102" s="600"/>
      <c r="E102" s="600"/>
      <c r="F102" s="600"/>
      <c r="G102" s="600"/>
      <c r="H102" s="600"/>
      <c r="I102" s="600"/>
      <c r="J102" s="600"/>
      <c r="K102" s="600"/>
      <c r="L102" s="600"/>
      <c r="M102" s="600"/>
      <c r="N102" s="600"/>
      <c r="O102" s="600"/>
      <c r="P102" s="600"/>
      <c r="Q102" s="600"/>
      <c r="R102" s="600"/>
      <c r="S102" s="600"/>
      <c r="T102" s="600"/>
      <c r="U102" s="522"/>
      <c r="V102" s="522"/>
      <c r="W102" s="522"/>
      <c r="X102" s="522"/>
      <c r="AE102" s="237"/>
      <c r="AF102" s="201"/>
      <c r="AG102" s="201"/>
      <c r="AH102" s="201"/>
      <c r="AI102" s="201"/>
      <c r="AJ102" s="201"/>
      <c r="AK102" s="201"/>
      <c r="AL102" s="201"/>
      <c r="AM102" s="201"/>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3"/>
      <c r="BQ102" s="213"/>
      <c r="BR102" s="213"/>
      <c r="BS102" s="213"/>
      <c r="BT102" s="213"/>
      <c r="BU102" s="213"/>
      <c r="BV102" s="213"/>
      <c r="BW102" s="213"/>
      <c r="BX102" s="213"/>
      <c r="BY102" s="213"/>
      <c r="BZ102" s="213"/>
      <c r="CA102" s="213"/>
    </row>
    <row r="103" spans="1:79">
      <c r="A103" s="601" t="s">
        <v>349</v>
      </c>
      <c r="B103" s="601"/>
      <c r="C103" s="601"/>
      <c r="D103" s="601"/>
      <c r="E103" s="601"/>
      <c r="F103" s="601"/>
      <c r="G103" s="601"/>
      <c r="H103" s="601"/>
      <c r="I103" s="601"/>
      <c r="J103" s="601"/>
      <c r="K103" s="601"/>
      <c r="L103" s="601"/>
      <c r="M103" s="601"/>
      <c r="N103" s="601"/>
      <c r="O103" s="601"/>
      <c r="P103" s="601"/>
      <c r="Q103" s="601"/>
      <c r="R103" s="601"/>
      <c r="S103" s="601"/>
      <c r="T103" s="601"/>
      <c r="U103" s="522"/>
      <c r="V103" s="522"/>
      <c r="W103" s="522"/>
      <c r="X103" s="522"/>
      <c r="AE103" s="237"/>
      <c r="AF103" s="201"/>
      <c r="AG103" s="201"/>
      <c r="AH103" s="201"/>
      <c r="AI103" s="201"/>
      <c r="AJ103" s="201"/>
      <c r="AK103" s="201"/>
      <c r="AL103" s="201"/>
      <c r="AM103" s="201"/>
      <c r="AN103" s="213"/>
      <c r="AO103" s="213"/>
      <c r="AP103" s="213"/>
      <c r="AQ103" s="213"/>
      <c r="AR103" s="213"/>
      <c r="AS103" s="213"/>
      <c r="AT103" s="213"/>
      <c r="AU103" s="213"/>
      <c r="AV103" s="213"/>
      <c r="AW103" s="213"/>
      <c r="AX103" s="213"/>
      <c r="AY103" s="213"/>
      <c r="AZ103" s="213"/>
      <c r="BA103" s="213"/>
      <c r="BB103" s="213"/>
      <c r="BC103" s="213"/>
      <c r="BD103" s="213"/>
      <c r="BE103" s="213"/>
      <c r="BF103" s="213"/>
      <c r="BG103" s="213"/>
      <c r="BH103" s="213"/>
      <c r="BI103" s="213"/>
      <c r="BJ103" s="213"/>
      <c r="BK103" s="213"/>
      <c r="BL103" s="213"/>
      <c r="BM103" s="213"/>
      <c r="BN103" s="213"/>
      <c r="BO103" s="213"/>
      <c r="BP103" s="213"/>
      <c r="BQ103" s="213"/>
      <c r="BR103" s="213"/>
      <c r="BS103" s="213"/>
      <c r="BT103" s="213"/>
      <c r="BU103" s="213"/>
      <c r="BV103" s="213"/>
      <c r="BW103" s="213"/>
      <c r="BX103" s="213"/>
      <c r="BY103" s="213"/>
      <c r="BZ103" s="213"/>
      <c r="CA103" s="213"/>
    </row>
    <row r="104" spans="1:79" ht="28.95" customHeight="1">
      <c r="A104" s="602" t="s">
        <v>648</v>
      </c>
      <c r="B104" s="603"/>
      <c r="C104" s="603"/>
      <c r="D104" s="603"/>
      <c r="E104" s="603"/>
      <c r="F104" s="603"/>
      <c r="G104" s="603"/>
      <c r="H104" s="603"/>
      <c r="I104" s="603"/>
      <c r="J104" s="603"/>
      <c r="K104" s="603"/>
      <c r="L104" s="603"/>
      <c r="M104" s="603"/>
      <c r="N104" s="603"/>
      <c r="O104" s="603"/>
      <c r="P104" s="603"/>
      <c r="Q104" s="603"/>
      <c r="R104" s="603"/>
      <c r="S104" s="603"/>
      <c r="T104" s="603"/>
      <c r="U104" s="522" t="s">
        <v>647</v>
      </c>
      <c r="V104" s="522"/>
      <c r="W104" s="522"/>
      <c r="X104" s="522"/>
      <c r="AE104" s="237"/>
      <c r="AF104" s="201"/>
      <c r="AG104" s="201"/>
      <c r="AH104" s="201"/>
      <c r="AI104" s="201"/>
      <c r="AJ104" s="201"/>
      <c r="AK104" s="201"/>
      <c r="AL104" s="201"/>
      <c r="AM104" s="201"/>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3"/>
      <c r="BR104" s="213"/>
      <c r="BS104" s="213"/>
      <c r="BT104" s="213"/>
      <c r="BU104" s="213"/>
      <c r="BV104" s="213"/>
      <c r="BW104" s="213"/>
      <c r="BX104" s="213"/>
      <c r="BY104" s="213"/>
      <c r="BZ104" s="213"/>
      <c r="CA104" s="213"/>
    </row>
    <row r="105" spans="1:79">
      <c r="A105" s="122"/>
      <c r="B105" s="122"/>
      <c r="C105" s="122"/>
      <c r="D105" s="122"/>
      <c r="E105" s="122"/>
      <c r="F105" s="122"/>
      <c r="G105" s="122"/>
      <c r="H105" s="122"/>
      <c r="I105" s="122"/>
      <c r="J105" s="122"/>
      <c r="K105" s="122"/>
      <c r="L105" s="122"/>
      <c r="M105" s="122"/>
      <c r="N105" s="122"/>
      <c r="O105" s="122"/>
      <c r="P105" s="122"/>
      <c r="Q105" s="122"/>
      <c r="R105" s="122"/>
      <c r="S105" s="122"/>
      <c r="T105" s="122"/>
      <c r="U105" s="121"/>
      <c r="AE105" s="237"/>
      <c r="AF105" s="201"/>
      <c r="AG105" s="201"/>
      <c r="AH105" s="201"/>
      <c r="AI105" s="201"/>
      <c r="AJ105" s="201"/>
      <c r="AK105" s="201"/>
      <c r="AL105" s="201"/>
      <c r="AM105" s="201"/>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3"/>
      <c r="BR105" s="213"/>
      <c r="BS105" s="213"/>
      <c r="BT105" s="213"/>
      <c r="BU105" s="213"/>
      <c r="BV105" s="213"/>
      <c r="BW105" s="213"/>
      <c r="BX105" s="213"/>
      <c r="BY105" s="213"/>
      <c r="BZ105" s="213"/>
      <c r="CA105" s="213"/>
    </row>
    <row r="106" spans="1:79" ht="25.2" customHeight="1">
      <c r="A106" s="599" t="s">
        <v>353</v>
      </c>
      <c r="B106" s="599"/>
      <c r="C106" s="599"/>
      <c r="D106" s="599"/>
      <c r="E106" s="599"/>
      <c r="F106" s="599"/>
      <c r="G106" s="599"/>
      <c r="H106" s="599"/>
      <c r="I106" s="599"/>
      <c r="J106" s="599"/>
      <c r="K106" s="599"/>
      <c r="L106" s="599"/>
      <c r="M106" s="599"/>
      <c r="N106" s="599"/>
      <c r="O106" s="599"/>
      <c r="P106" s="599"/>
      <c r="Q106" s="599"/>
      <c r="R106" s="599"/>
      <c r="S106" s="599"/>
      <c r="T106" s="599"/>
      <c r="U106" s="591" t="str">
        <f>Q5</f>
        <v>Energy Cert. Adapt  ver.4.00</v>
      </c>
      <c r="V106" s="591"/>
      <c r="W106" s="591"/>
      <c r="X106" s="591"/>
      <c r="Y106" s="123"/>
      <c r="Z106" s="123"/>
      <c r="AA106" s="499" t="s">
        <v>221</v>
      </c>
      <c r="AB106" s="500"/>
      <c r="AC106" s="500"/>
      <c r="AD106" s="501"/>
      <c r="AE106" s="237"/>
      <c r="AF106" s="201"/>
      <c r="AG106" s="201"/>
      <c r="AH106" s="201"/>
      <c r="AI106" s="201"/>
      <c r="AJ106" s="201"/>
      <c r="AK106" s="201"/>
      <c r="AL106" s="201"/>
      <c r="AM106" s="201"/>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13"/>
      <c r="CA106" s="213"/>
    </row>
    <row r="107" spans="1:79" ht="15.6">
      <c r="A107" s="124"/>
      <c r="B107" s="124"/>
      <c r="C107" s="124"/>
      <c r="D107" s="124"/>
      <c r="E107" s="124"/>
      <c r="F107" s="124"/>
      <c r="G107" s="124"/>
      <c r="H107" s="124"/>
      <c r="I107" s="124"/>
      <c r="J107" s="124"/>
      <c r="K107" s="124"/>
      <c r="L107" s="124"/>
      <c r="M107" s="124"/>
      <c r="N107" s="124"/>
      <c r="O107" s="124"/>
      <c r="P107" s="124"/>
      <c r="Q107" s="124"/>
      <c r="R107" s="124"/>
      <c r="S107" s="124"/>
      <c r="T107" s="124"/>
      <c r="U107" s="121"/>
      <c r="AE107" s="237"/>
      <c r="AF107" s="201"/>
      <c r="AG107" s="201"/>
      <c r="AH107" s="201"/>
      <c r="AI107" s="201"/>
      <c r="AJ107" s="201"/>
      <c r="AK107" s="201"/>
      <c r="AL107" s="201"/>
      <c r="AM107" s="201"/>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13"/>
      <c r="CA107" s="213"/>
    </row>
    <row r="108" spans="1:79" ht="15" thickBot="1">
      <c r="U108" s="121"/>
      <c r="AE108" s="237"/>
      <c r="AF108" s="201"/>
      <c r="AG108" s="201"/>
      <c r="AH108" s="201"/>
      <c r="AI108" s="201"/>
      <c r="AJ108" s="201"/>
      <c r="AK108" s="201"/>
      <c r="AL108" s="201"/>
      <c r="AM108" s="201"/>
      <c r="AN108" s="213"/>
      <c r="AO108" s="213"/>
      <c r="AP108" s="213"/>
      <c r="AQ108" s="213"/>
      <c r="AR108" s="213"/>
      <c r="AS108" s="213"/>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c r="BT108" s="213"/>
      <c r="BU108" s="213"/>
      <c r="BV108" s="213"/>
      <c r="BW108" s="213"/>
      <c r="BX108" s="213"/>
      <c r="BY108" s="213"/>
      <c r="BZ108" s="213"/>
      <c r="CA108" s="213"/>
    </row>
    <row r="109" spans="1:79" ht="15" thickTop="1">
      <c r="A109" s="241"/>
      <c r="B109" s="241"/>
      <c r="C109" s="241"/>
      <c r="D109" s="241"/>
      <c r="E109" s="241"/>
      <c r="F109" s="241"/>
      <c r="G109" s="241"/>
      <c r="H109" s="241"/>
      <c r="I109" s="241"/>
      <c r="J109" s="241"/>
      <c r="K109" s="241"/>
      <c r="L109" s="241"/>
      <c r="M109" s="241"/>
      <c r="N109" s="241"/>
      <c r="O109" s="241"/>
      <c r="P109" s="241"/>
      <c r="Q109" s="241"/>
      <c r="R109" s="241"/>
      <c r="S109" s="241"/>
      <c r="T109" s="241"/>
      <c r="U109" s="242"/>
      <c r="V109" s="241"/>
      <c r="W109" s="241"/>
      <c r="X109" s="241"/>
      <c r="Y109" s="241"/>
      <c r="Z109" s="241"/>
      <c r="AA109" s="241"/>
      <c r="AB109" s="241"/>
      <c r="AC109" s="241"/>
      <c r="AD109" s="241"/>
      <c r="AE109" s="240"/>
      <c r="AF109" s="240"/>
      <c r="AG109" s="240"/>
      <c r="AH109" s="240"/>
      <c r="AI109" s="240"/>
      <c r="AJ109" s="240"/>
      <c r="AK109" s="240"/>
      <c r="AL109" s="240"/>
      <c r="AM109" s="240"/>
      <c r="AN109" s="213"/>
      <c r="AO109" s="213"/>
      <c r="AP109" s="213"/>
      <c r="AQ109" s="213"/>
      <c r="AR109" s="213"/>
      <c r="AS109" s="213"/>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c r="BT109" s="213"/>
      <c r="BU109" s="213"/>
      <c r="BV109" s="213"/>
      <c r="BW109" s="213"/>
      <c r="BX109" s="213"/>
      <c r="BY109" s="213"/>
      <c r="BZ109" s="213"/>
      <c r="CA109" s="213"/>
    </row>
    <row r="110" spans="1:79">
      <c r="A110" s="211"/>
      <c r="B110" s="211"/>
      <c r="C110" s="211"/>
      <c r="D110" s="211"/>
      <c r="E110" s="211"/>
      <c r="F110" s="211"/>
      <c r="G110" s="211"/>
      <c r="H110" s="211"/>
      <c r="I110" s="211"/>
      <c r="J110" s="211"/>
      <c r="K110" s="211"/>
      <c r="L110" s="211"/>
      <c r="M110" s="211"/>
      <c r="N110" s="211"/>
      <c r="O110" s="211"/>
      <c r="P110" s="211"/>
      <c r="Q110" s="211"/>
      <c r="R110" s="211"/>
      <c r="S110" s="211"/>
      <c r="T110" s="211"/>
      <c r="U110" s="243"/>
      <c r="V110" s="211"/>
      <c r="W110" s="211"/>
      <c r="X110" s="211"/>
      <c r="Y110" s="211"/>
      <c r="Z110" s="211"/>
      <c r="AA110" s="211"/>
      <c r="AB110" s="211"/>
      <c r="AC110" s="211"/>
      <c r="AD110" s="211"/>
      <c r="AE110" s="240"/>
      <c r="AF110" s="240"/>
      <c r="AG110" s="240"/>
      <c r="AH110" s="240"/>
      <c r="AI110" s="240"/>
      <c r="AJ110" s="240"/>
      <c r="AK110" s="240"/>
      <c r="AL110" s="240"/>
      <c r="AM110" s="240"/>
      <c r="AN110" s="213"/>
      <c r="AO110" s="213"/>
      <c r="AP110" s="213"/>
      <c r="AQ110" s="213"/>
      <c r="AR110" s="213"/>
      <c r="AS110" s="213"/>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c r="BT110" s="213"/>
      <c r="BU110" s="213"/>
      <c r="BV110" s="213"/>
      <c r="BW110" s="213"/>
      <c r="BX110" s="213"/>
      <c r="BY110" s="213"/>
      <c r="BZ110" s="213"/>
      <c r="CA110" s="213"/>
    </row>
    <row r="111" spans="1:79">
      <c r="A111" s="213"/>
      <c r="B111" s="213"/>
      <c r="C111" s="213"/>
      <c r="D111" s="213"/>
      <c r="E111" s="213"/>
      <c r="F111" s="213"/>
      <c r="G111" s="213"/>
      <c r="H111" s="213"/>
      <c r="I111" s="213"/>
      <c r="J111" s="213"/>
      <c r="K111" s="213"/>
      <c r="L111" s="213"/>
      <c r="M111" s="213"/>
      <c r="N111" s="213"/>
      <c r="O111" s="213"/>
      <c r="P111" s="213"/>
      <c r="Q111" s="213"/>
      <c r="R111" s="213"/>
      <c r="S111" s="213"/>
      <c r="T111" s="213"/>
      <c r="U111" s="244"/>
      <c r="V111" s="213"/>
      <c r="W111" s="213"/>
      <c r="X111" s="213"/>
      <c r="Y111" s="213"/>
      <c r="Z111" s="213"/>
      <c r="AA111" s="213"/>
      <c r="AB111" s="213"/>
      <c r="AC111" s="213"/>
      <c r="AD111" s="213"/>
      <c r="AE111" s="240"/>
      <c r="AF111" s="240"/>
      <c r="AG111" s="240"/>
      <c r="AH111" s="240"/>
      <c r="AI111" s="240"/>
      <c r="AJ111" s="240"/>
      <c r="AK111" s="240"/>
      <c r="AL111" s="240"/>
      <c r="AM111" s="240"/>
      <c r="AN111" s="213"/>
      <c r="AO111" s="213"/>
      <c r="AP111" s="213"/>
      <c r="AQ111" s="213"/>
      <c r="AR111" s="213"/>
      <c r="AS111" s="213"/>
      <c r="AT111" s="213"/>
      <c r="AU111" s="213"/>
      <c r="AV111" s="213"/>
      <c r="AW111" s="213"/>
      <c r="AX111" s="213"/>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c r="BU111" s="213"/>
      <c r="BV111" s="213"/>
      <c r="BW111" s="213"/>
      <c r="BX111" s="213"/>
      <c r="BY111" s="213"/>
      <c r="BZ111" s="213"/>
      <c r="CA111" s="213"/>
    </row>
    <row r="112" spans="1:79">
      <c r="A112" s="213"/>
      <c r="B112" s="213"/>
      <c r="C112" s="213"/>
      <c r="D112" s="213"/>
      <c r="E112" s="213"/>
      <c r="F112" s="213"/>
      <c r="G112" s="213"/>
      <c r="H112" s="213"/>
      <c r="I112" s="213"/>
      <c r="J112" s="213"/>
      <c r="K112" s="213"/>
      <c r="L112" s="213"/>
      <c r="M112" s="213"/>
      <c r="N112" s="213"/>
      <c r="O112" s="213"/>
      <c r="P112" s="213"/>
      <c r="Q112" s="213"/>
      <c r="R112" s="213"/>
      <c r="S112" s="213"/>
      <c r="T112" s="213"/>
      <c r="U112" s="244"/>
      <c r="V112" s="213"/>
      <c r="W112" s="213"/>
      <c r="X112" s="213"/>
      <c r="Y112" s="213"/>
      <c r="Z112" s="213"/>
      <c r="AA112" s="213"/>
      <c r="AB112" s="213"/>
      <c r="AC112" s="213"/>
      <c r="AD112" s="213"/>
      <c r="AE112" s="240"/>
      <c r="AF112" s="240"/>
      <c r="AG112" s="240"/>
      <c r="AH112" s="240"/>
      <c r="AI112" s="240"/>
      <c r="AJ112" s="240"/>
      <c r="AK112" s="240"/>
      <c r="AL112" s="240"/>
      <c r="AM112" s="240"/>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213"/>
      <c r="BI112" s="213"/>
      <c r="BJ112" s="213"/>
      <c r="BK112" s="213"/>
      <c r="BL112" s="213"/>
      <c r="BM112" s="213"/>
      <c r="BN112" s="213"/>
      <c r="BO112" s="213"/>
      <c r="BP112" s="213"/>
      <c r="BQ112" s="213"/>
      <c r="BR112" s="213"/>
      <c r="BS112" s="213"/>
      <c r="BT112" s="213"/>
      <c r="BU112" s="213"/>
      <c r="BV112" s="213"/>
      <c r="BW112" s="213"/>
      <c r="BX112" s="213"/>
      <c r="BY112" s="213"/>
      <c r="BZ112" s="213"/>
      <c r="CA112" s="213"/>
    </row>
    <row r="113" spans="1:79">
      <c r="A113" s="213"/>
      <c r="B113" s="213"/>
      <c r="C113" s="213"/>
      <c r="D113" s="213"/>
      <c r="E113" s="213"/>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13"/>
      <c r="AE113" s="240"/>
      <c r="AF113" s="240"/>
      <c r="AG113" s="240"/>
      <c r="AH113" s="240"/>
      <c r="AI113" s="240"/>
      <c r="AJ113" s="240"/>
      <c r="AK113" s="240"/>
      <c r="AL113" s="240"/>
      <c r="AM113" s="240"/>
      <c r="AN113" s="213"/>
      <c r="AO113" s="213"/>
      <c r="AP113" s="213"/>
      <c r="AQ113" s="213"/>
      <c r="AR113" s="213"/>
      <c r="AS113" s="213"/>
      <c r="AT113" s="213"/>
      <c r="AU113" s="213"/>
      <c r="AV113" s="213"/>
      <c r="AW113" s="213"/>
      <c r="AX113" s="213"/>
      <c r="AY113" s="213"/>
      <c r="AZ113" s="213"/>
      <c r="BA113" s="213"/>
      <c r="BB113" s="213"/>
      <c r="BC113" s="213"/>
      <c r="BD113" s="213"/>
      <c r="BE113" s="213"/>
      <c r="BF113" s="213"/>
      <c r="BG113" s="213"/>
      <c r="BH113" s="213"/>
      <c r="BI113" s="213"/>
      <c r="BJ113" s="213"/>
      <c r="BK113" s="213"/>
      <c r="BL113" s="213"/>
      <c r="BM113" s="213"/>
      <c r="BN113" s="213"/>
      <c r="BO113" s="213"/>
      <c r="BP113" s="213"/>
      <c r="BQ113" s="213"/>
      <c r="BR113" s="213"/>
      <c r="BS113" s="213"/>
      <c r="BT113" s="213"/>
      <c r="BU113" s="213"/>
      <c r="BV113" s="213"/>
      <c r="BW113" s="213"/>
      <c r="BX113" s="213"/>
      <c r="BY113" s="213"/>
      <c r="BZ113" s="213"/>
      <c r="CA113" s="213"/>
    </row>
    <row r="114" spans="1:79">
      <c r="A114" s="213"/>
      <c r="B114" s="213"/>
      <c r="C114" s="213"/>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40"/>
      <c r="AF114" s="240"/>
      <c r="AG114" s="240"/>
      <c r="AH114" s="240"/>
      <c r="AI114" s="240"/>
      <c r="AJ114" s="240"/>
      <c r="AK114" s="240"/>
      <c r="AL114" s="240"/>
      <c r="AM114" s="240"/>
      <c r="AN114" s="213"/>
      <c r="AO114" s="213"/>
      <c r="AP114" s="213"/>
      <c r="AQ114" s="213"/>
      <c r="AR114" s="213"/>
      <c r="AS114" s="213"/>
      <c r="AT114" s="213"/>
      <c r="AU114" s="213"/>
      <c r="AV114" s="213"/>
      <c r="AW114" s="213"/>
      <c r="AX114" s="213"/>
      <c r="AY114" s="213"/>
      <c r="AZ114" s="213"/>
      <c r="BA114" s="213"/>
      <c r="BB114" s="213"/>
      <c r="BC114" s="213"/>
      <c r="BD114" s="213"/>
      <c r="BE114" s="213"/>
      <c r="BF114" s="213"/>
      <c r="BG114" s="213"/>
      <c r="BH114" s="213"/>
      <c r="BI114" s="213"/>
      <c r="BJ114" s="213"/>
      <c r="BK114" s="213"/>
      <c r="BL114" s="213"/>
      <c r="BM114" s="213"/>
      <c r="BN114" s="213"/>
      <c r="BO114" s="213"/>
      <c r="BP114" s="213"/>
      <c r="BQ114" s="213"/>
      <c r="BR114" s="213"/>
      <c r="BS114" s="213"/>
      <c r="BT114" s="213"/>
      <c r="BU114" s="213"/>
      <c r="BV114" s="213"/>
      <c r="BW114" s="213"/>
      <c r="BX114" s="213"/>
      <c r="BY114" s="213"/>
      <c r="BZ114" s="213"/>
      <c r="CA114" s="213"/>
    </row>
    <row r="115" spans="1:79">
      <c r="A115" s="213"/>
      <c r="B115" s="213"/>
      <c r="C115" s="213"/>
      <c r="D115" s="213"/>
      <c r="E115" s="213"/>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40"/>
      <c r="AF115" s="240"/>
      <c r="AG115" s="240"/>
      <c r="AH115" s="240"/>
      <c r="AI115" s="240"/>
      <c r="AJ115" s="240"/>
      <c r="AK115" s="240"/>
      <c r="AL115" s="240"/>
      <c r="AM115" s="240"/>
      <c r="AN115" s="213"/>
      <c r="AO115" s="213"/>
      <c r="AP115" s="213"/>
      <c r="AQ115" s="213"/>
      <c r="AR115" s="213"/>
      <c r="AS115" s="213"/>
      <c r="AT115" s="213"/>
      <c r="AU115" s="213"/>
      <c r="AV115" s="213"/>
      <c r="AW115" s="213"/>
      <c r="AX115" s="213"/>
      <c r="AY115" s="213"/>
      <c r="AZ115" s="213"/>
      <c r="BA115" s="213"/>
      <c r="BB115" s="213"/>
      <c r="BC115" s="213"/>
      <c r="BD115" s="213"/>
      <c r="BE115" s="213"/>
      <c r="BF115" s="213"/>
      <c r="BG115" s="213"/>
      <c r="BH115" s="213"/>
      <c r="BI115" s="213"/>
      <c r="BJ115" s="213"/>
      <c r="BK115" s="213"/>
      <c r="BL115" s="213"/>
      <c r="BM115" s="213"/>
      <c r="BN115" s="213"/>
      <c r="BO115" s="213"/>
      <c r="BP115" s="213"/>
      <c r="BQ115" s="213"/>
      <c r="BR115" s="213"/>
      <c r="BS115" s="213"/>
      <c r="BT115" s="213"/>
      <c r="BU115" s="213"/>
      <c r="BV115" s="213"/>
      <c r="BW115" s="213"/>
      <c r="BX115" s="213"/>
      <c r="BY115" s="213"/>
      <c r="BZ115" s="213"/>
      <c r="CA115" s="213"/>
    </row>
    <row r="116" spans="1:79">
      <c r="A116" s="213"/>
      <c r="B116" s="213"/>
      <c r="C116" s="213"/>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3"/>
      <c r="AA116" s="213"/>
      <c r="AB116" s="213"/>
      <c r="AC116" s="213"/>
      <c r="AD116" s="213"/>
      <c r="AE116" s="240"/>
      <c r="AF116" s="240"/>
      <c r="AG116" s="240"/>
      <c r="AH116" s="240"/>
      <c r="AI116" s="240"/>
      <c r="AJ116" s="240"/>
      <c r="AK116" s="240"/>
      <c r="AL116" s="240"/>
      <c r="AM116" s="240"/>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213"/>
      <c r="BZ116" s="213"/>
      <c r="CA116" s="213"/>
    </row>
    <row r="117" spans="1:79">
      <c r="A117" s="213"/>
      <c r="B117" s="213"/>
      <c r="C117" s="213"/>
      <c r="D117" s="213"/>
      <c r="E117" s="213"/>
      <c r="F117" s="213"/>
      <c r="G117" s="213"/>
      <c r="H117" s="213"/>
      <c r="I117" s="213"/>
      <c r="J117" s="213"/>
      <c r="K117" s="213"/>
      <c r="L117" s="213"/>
      <c r="M117" s="213"/>
      <c r="N117" s="213"/>
      <c r="O117" s="213"/>
      <c r="P117" s="213"/>
      <c r="Q117" s="213"/>
      <c r="R117" s="213"/>
      <c r="S117" s="213"/>
      <c r="T117" s="213"/>
      <c r="U117" s="213"/>
      <c r="V117" s="213"/>
      <c r="W117" s="213"/>
      <c r="X117" s="213"/>
      <c r="Y117" s="213"/>
      <c r="Z117" s="213"/>
      <c r="AA117" s="213"/>
      <c r="AB117" s="213"/>
      <c r="AC117" s="213"/>
      <c r="AD117" s="213"/>
      <c r="AE117" s="240"/>
      <c r="AF117" s="240"/>
      <c r="AG117" s="240"/>
      <c r="AH117" s="240"/>
      <c r="AI117" s="240"/>
      <c r="AJ117" s="240"/>
      <c r="AK117" s="240"/>
      <c r="AL117" s="240"/>
      <c r="AM117" s="240"/>
      <c r="AN117" s="213"/>
      <c r="AO117" s="213"/>
      <c r="AP117" s="213"/>
      <c r="AQ117" s="213"/>
      <c r="AR117" s="213"/>
      <c r="AS117" s="213"/>
      <c r="AT117" s="213"/>
      <c r="AU117" s="213"/>
      <c r="AV117" s="213"/>
      <c r="AW117" s="213"/>
      <c r="AX117" s="213"/>
      <c r="AY117" s="213"/>
      <c r="AZ117" s="213"/>
      <c r="BA117" s="213"/>
      <c r="BB117" s="213"/>
      <c r="BC117" s="213"/>
      <c r="BD117" s="213"/>
      <c r="BE117" s="213"/>
      <c r="BF117" s="213"/>
      <c r="BG117" s="213"/>
      <c r="BH117" s="213"/>
      <c r="BI117" s="213"/>
      <c r="BJ117" s="213"/>
      <c r="BK117" s="213"/>
      <c r="BL117" s="213"/>
      <c r="BM117" s="213"/>
      <c r="BN117" s="213"/>
      <c r="BO117" s="213"/>
      <c r="BP117" s="213"/>
      <c r="BQ117" s="213"/>
      <c r="BR117" s="213"/>
      <c r="BS117" s="213"/>
      <c r="BT117" s="213"/>
      <c r="BU117" s="213"/>
      <c r="BV117" s="213"/>
      <c r="BW117" s="213"/>
      <c r="BX117" s="213"/>
      <c r="BY117" s="213"/>
      <c r="BZ117" s="213"/>
      <c r="CA117" s="213"/>
    </row>
    <row r="118" spans="1:79">
      <c r="A118" s="213"/>
      <c r="B118" s="213"/>
      <c r="C118" s="213"/>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E118" s="240"/>
      <c r="AF118" s="240"/>
      <c r="AG118" s="240"/>
      <c r="AH118" s="240"/>
      <c r="AI118" s="240"/>
      <c r="AJ118" s="240"/>
      <c r="AK118" s="240"/>
      <c r="AL118" s="240"/>
      <c r="AM118" s="240"/>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13"/>
      <c r="CA118" s="213"/>
    </row>
    <row r="119" spans="1:79">
      <c r="A119" s="213"/>
      <c r="B119" s="213"/>
      <c r="C119" s="213"/>
      <c r="D119" s="213"/>
      <c r="E119" s="213"/>
      <c r="F119" s="213"/>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40"/>
      <c r="AF119" s="240"/>
      <c r="AG119" s="240"/>
      <c r="AH119" s="240"/>
      <c r="AI119" s="240"/>
      <c r="AJ119" s="240"/>
      <c r="AK119" s="240"/>
      <c r="AL119" s="240"/>
      <c r="AM119" s="240"/>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13"/>
      <c r="CA119" s="213"/>
    </row>
    <row r="120" spans="1:79">
      <c r="A120" s="213"/>
      <c r="B120" s="213"/>
      <c r="C120" s="213"/>
      <c r="D120" s="213"/>
      <c r="E120" s="213"/>
      <c r="F120" s="213"/>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40"/>
      <c r="AF120" s="240"/>
      <c r="AG120" s="240"/>
      <c r="AH120" s="240"/>
      <c r="AI120" s="240"/>
      <c r="AJ120" s="240"/>
      <c r="AK120" s="240"/>
      <c r="AL120" s="240"/>
      <c r="AM120" s="240"/>
      <c r="AN120" s="213"/>
      <c r="AO120" s="213"/>
      <c r="AP120" s="213"/>
      <c r="AQ120" s="213"/>
      <c r="AR120" s="213"/>
      <c r="AS120" s="213"/>
      <c r="AT120" s="213"/>
      <c r="AU120" s="213"/>
      <c r="AV120" s="213"/>
      <c r="AW120" s="213"/>
      <c r="AX120" s="213"/>
      <c r="AY120" s="213"/>
      <c r="AZ120" s="213"/>
      <c r="BA120" s="213"/>
      <c r="BB120" s="213"/>
      <c r="BC120" s="213"/>
      <c r="BD120" s="213"/>
      <c r="BE120" s="213"/>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13"/>
      <c r="CA120" s="213"/>
    </row>
    <row r="121" spans="1:79">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40"/>
      <c r="AF121" s="240"/>
      <c r="AG121" s="240"/>
      <c r="AH121" s="240"/>
      <c r="AI121" s="240"/>
      <c r="AJ121" s="240"/>
      <c r="AK121" s="240"/>
      <c r="AL121" s="240"/>
      <c r="AM121" s="240"/>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13"/>
      <c r="CA121" s="213"/>
    </row>
    <row r="122" spans="1:79">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40"/>
      <c r="AF122" s="240"/>
      <c r="AG122" s="240"/>
      <c r="AH122" s="240"/>
      <c r="AI122" s="240"/>
      <c r="AJ122" s="240"/>
      <c r="AK122" s="240"/>
      <c r="AL122" s="240"/>
      <c r="AM122" s="240"/>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13"/>
      <c r="CA122" s="213"/>
    </row>
    <row r="123" spans="1:79">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40"/>
      <c r="AF123" s="240"/>
      <c r="AG123" s="240"/>
      <c r="AH123" s="240"/>
      <c r="AI123" s="240"/>
      <c r="AJ123" s="240"/>
      <c r="AK123" s="240"/>
      <c r="AL123" s="240"/>
      <c r="AM123" s="240"/>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13"/>
      <c r="CA123" s="213"/>
    </row>
    <row r="124" spans="1:79">
      <c r="A124" s="213"/>
      <c r="B124" s="213"/>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40"/>
      <c r="AF124" s="240"/>
      <c r="AG124" s="240"/>
      <c r="AH124" s="240"/>
      <c r="AI124" s="240"/>
      <c r="AJ124" s="240"/>
      <c r="AK124" s="240"/>
      <c r="AL124" s="240"/>
      <c r="AM124" s="240"/>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13"/>
      <c r="CA124" s="213"/>
    </row>
    <row r="125" spans="1:79">
      <c r="A125" s="213"/>
      <c r="B125" s="213"/>
      <c r="C125" s="213"/>
      <c r="D125" s="213"/>
      <c r="E125" s="213"/>
      <c r="F125" s="213"/>
      <c r="G125" s="213"/>
      <c r="H125" s="213"/>
      <c r="I125" s="213"/>
      <c r="J125" s="213"/>
      <c r="K125" s="213"/>
      <c r="L125" s="213"/>
      <c r="M125" s="213"/>
      <c r="N125" s="213"/>
      <c r="O125" s="213"/>
      <c r="P125" s="213"/>
      <c r="Q125" s="213"/>
      <c r="R125" s="213"/>
      <c r="S125" s="213"/>
      <c r="T125" s="213"/>
      <c r="U125" s="213"/>
      <c r="V125" s="213"/>
      <c r="W125" s="213"/>
      <c r="X125" s="213"/>
      <c r="Y125" s="213"/>
      <c r="Z125" s="213"/>
      <c r="AA125" s="213"/>
      <c r="AB125" s="213"/>
      <c r="AC125" s="213"/>
      <c r="AD125" s="213"/>
      <c r="AE125" s="240"/>
      <c r="AF125" s="240"/>
      <c r="AG125" s="240"/>
      <c r="AH125" s="240"/>
      <c r="AI125" s="240"/>
      <c r="AJ125" s="240"/>
      <c r="AK125" s="240"/>
      <c r="AL125" s="240"/>
      <c r="AM125" s="240"/>
      <c r="AN125" s="213"/>
      <c r="AO125" s="213"/>
      <c r="AP125" s="213"/>
      <c r="AQ125" s="213"/>
      <c r="AR125" s="213"/>
      <c r="AS125" s="213"/>
      <c r="AT125" s="213"/>
      <c r="AU125" s="213"/>
      <c r="AV125" s="213"/>
      <c r="AW125" s="213"/>
      <c r="AX125" s="213"/>
      <c r="AY125" s="213"/>
      <c r="AZ125" s="213"/>
      <c r="BA125" s="213"/>
      <c r="BB125" s="213"/>
      <c r="BC125" s="213"/>
      <c r="BD125" s="213"/>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13"/>
      <c r="CA125" s="213"/>
    </row>
    <row r="126" spans="1:79">
      <c r="A126" s="213"/>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40"/>
      <c r="AF126" s="240"/>
      <c r="AG126" s="240"/>
      <c r="AH126" s="240"/>
      <c r="AI126" s="240"/>
      <c r="AJ126" s="240"/>
      <c r="AK126" s="240"/>
      <c r="AL126" s="240"/>
      <c r="AM126" s="240"/>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13"/>
      <c r="CA126" s="213"/>
    </row>
    <row r="127" spans="1:79">
      <c r="A127" s="213"/>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40"/>
      <c r="AF127" s="240"/>
      <c r="AG127" s="240"/>
      <c r="AH127" s="240"/>
      <c r="AI127" s="240"/>
      <c r="AJ127" s="240"/>
      <c r="AK127" s="240"/>
      <c r="AL127" s="240"/>
      <c r="AM127" s="240"/>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13"/>
      <c r="CA127" s="213"/>
    </row>
    <row r="128" spans="1:79">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40"/>
      <c r="AF128" s="240"/>
      <c r="AG128" s="240"/>
      <c r="AH128" s="240"/>
      <c r="AI128" s="240"/>
      <c r="AJ128" s="240"/>
      <c r="AK128" s="240"/>
      <c r="AL128" s="240"/>
      <c r="AM128" s="240"/>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13"/>
      <c r="CA128" s="213"/>
    </row>
    <row r="129" spans="1:79">
      <c r="A129" s="213"/>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40"/>
      <c r="AF129" s="240"/>
      <c r="AG129" s="240"/>
      <c r="AH129" s="240"/>
      <c r="AI129" s="240"/>
      <c r="AJ129" s="240"/>
      <c r="AK129" s="240"/>
      <c r="AL129" s="240"/>
      <c r="AM129" s="240"/>
      <c r="AN129" s="213"/>
      <c r="AO129" s="213"/>
      <c r="AP129" s="213"/>
      <c r="AQ129" s="213"/>
      <c r="AR129" s="213"/>
      <c r="AS129" s="213"/>
      <c r="AT129" s="213"/>
      <c r="AU129" s="213"/>
      <c r="AV129" s="213"/>
      <c r="AW129" s="213"/>
      <c r="AX129" s="213"/>
      <c r="AY129" s="213"/>
      <c r="AZ129" s="213"/>
      <c r="BA129" s="213"/>
      <c r="BB129" s="213"/>
      <c r="BC129" s="213"/>
      <c r="BD129" s="213"/>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13"/>
      <c r="CA129" s="213"/>
    </row>
    <row r="130" spans="1:79">
      <c r="A130" s="213"/>
      <c r="B130" s="213"/>
      <c r="C130" s="213"/>
      <c r="D130" s="213"/>
      <c r="E130" s="213"/>
      <c r="F130" s="213"/>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40"/>
      <c r="AF130" s="240"/>
      <c r="AG130" s="240"/>
      <c r="AH130" s="240"/>
      <c r="AI130" s="240"/>
      <c r="AJ130" s="240"/>
      <c r="AK130" s="240"/>
      <c r="AL130" s="240"/>
      <c r="AM130" s="240"/>
      <c r="AN130" s="213"/>
      <c r="AO130" s="213"/>
      <c r="AP130" s="213"/>
      <c r="AQ130" s="213"/>
      <c r="AR130" s="213"/>
      <c r="AS130" s="213"/>
      <c r="AT130" s="213"/>
      <c r="AU130" s="213"/>
      <c r="AV130" s="213"/>
      <c r="AW130" s="213"/>
      <c r="AX130" s="213"/>
      <c r="AY130" s="213"/>
      <c r="AZ130" s="213"/>
      <c r="BA130" s="213"/>
      <c r="BB130" s="213"/>
      <c r="BC130" s="213"/>
      <c r="BD130" s="213"/>
      <c r="BE130" s="213"/>
      <c r="BF130" s="213"/>
      <c r="BG130" s="213"/>
      <c r="BH130" s="213"/>
      <c r="BI130" s="213"/>
      <c r="BJ130" s="213"/>
      <c r="BK130" s="213"/>
      <c r="BL130" s="213"/>
      <c r="BM130" s="213"/>
      <c r="BN130" s="213"/>
      <c r="BO130" s="213"/>
      <c r="BP130" s="213"/>
      <c r="BQ130" s="213"/>
      <c r="BR130" s="213"/>
      <c r="BS130" s="213"/>
      <c r="BT130" s="213"/>
      <c r="BU130" s="213"/>
      <c r="BV130" s="213"/>
      <c r="BW130" s="213"/>
      <c r="BX130" s="213"/>
      <c r="BY130" s="213"/>
      <c r="BZ130" s="213"/>
      <c r="CA130" s="213"/>
    </row>
    <row r="131" spans="1:79">
      <c r="A131" s="213"/>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40"/>
      <c r="AF131" s="240"/>
      <c r="AG131" s="240"/>
      <c r="AH131" s="240"/>
      <c r="AI131" s="240"/>
      <c r="AJ131" s="240"/>
      <c r="AK131" s="240"/>
      <c r="AL131" s="240"/>
      <c r="AM131" s="240"/>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13"/>
      <c r="CA131" s="213"/>
    </row>
  </sheetData>
  <dataConsolidate/>
  <mergeCells count="384">
    <mergeCell ref="A52:C52"/>
    <mergeCell ref="D52:F52"/>
    <mergeCell ref="A14:F14"/>
    <mergeCell ref="C13:D13"/>
    <mergeCell ref="I13:J13"/>
    <mergeCell ref="P10:T12"/>
    <mergeCell ref="AA15:AD15"/>
    <mergeCell ref="AC16:AD16"/>
    <mergeCell ref="AA16:AB16"/>
    <mergeCell ref="Y16:Z16"/>
    <mergeCell ref="C16:G16"/>
    <mergeCell ref="H52:J52"/>
    <mergeCell ref="A13:B13"/>
    <mergeCell ref="AA36:AB36"/>
    <mergeCell ref="Y36:Z36"/>
    <mergeCell ref="A34:G34"/>
    <mergeCell ref="O34:P34"/>
    <mergeCell ref="Q34:R34"/>
    <mergeCell ref="O35:P35"/>
    <mergeCell ref="Y54:Z54"/>
    <mergeCell ref="Y53:Z53"/>
    <mergeCell ref="Y51:Z51"/>
    <mergeCell ref="AC36:AD36"/>
    <mergeCell ref="L84:P84"/>
    <mergeCell ref="E85:F85"/>
    <mergeCell ref="G85:H85"/>
    <mergeCell ref="Q66:S66"/>
    <mergeCell ref="D54:F54"/>
    <mergeCell ref="A69:E69"/>
    <mergeCell ref="C70:D70"/>
    <mergeCell ref="A58:B58"/>
    <mergeCell ref="H55:K55"/>
    <mergeCell ref="D57:E57"/>
    <mergeCell ref="J65:K65"/>
    <mergeCell ref="Q65:S65"/>
    <mergeCell ref="C71:D71"/>
    <mergeCell ref="C75:D75"/>
    <mergeCell ref="M85:N85"/>
    <mergeCell ref="E75:F75"/>
    <mergeCell ref="V57:AC57"/>
    <mergeCell ref="Y55:Z55"/>
    <mergeCell ref="A53:C53"/>
    <mergeCell ref="D53:F53"/>
    <mergeCell ref="BY15:BZ15"/>
    <mergeCell ref="BE14:BJ14"/>
    <mergeCell ref="BE15:BF15"/>
    <mergeCell ref="BG15:BH15"/>
    <mergeCell ref="BI15:BJ15"/>
    <mergeCell ref="BK14:BN14"/>
    <mergeCell ref="BM15:BN15"/>
    <mergeCell ref="BK15:BL15"/>
    <mergeCell ref="BA15:BB15"/>
    <mergeCell ref="BY35:BZ35"/>
    <mergeCell ref="BE35:BF35"/>
    <mergeCell ref="BG35:BH35"/>
    <mergeCell ref="BI35:BJ35"/>
    <mergeCell ref="BK35:BL35"/>
    <mergeCell ref="BM35:BN35"/>
    <mergeCell ref="BO35:BP35"/>
    <mergeCell ref="AE13:AM13"/>
    <mergeCell ref="AL16:AM16"/>
    <mergeCell ref="AJ16:AK16"/>
    <mergeCell ref="AE14:AI14"/>
    <mergeCell ref="AE35:AI35"/>
    <mergeCell ref="AJ15:AM15"/>
    <mergeCell ref="AJ14:AM14"/>
    <mergeCell ref="AF15:AG15"/>
    <mergeCell ref="BQ35:BR35"/>
    <mergeCell ref="BS35:BT35"/>
    <mergeCell ref="BU35:BV35"/>
    <mergeCell ref="BO14:BT14"/>
    <mergeCell ref="BO15:BP15"/>
    <mergeCell ref="BQ15:BR15"/>
    <mergeCell ref="BS15:BT15"/>
    <mergeCell ref="BU14:BZ14"/>
    <mergeCell ref="BU15:BV15"/>
    <mergeCell ref="C8:E8"/>
    <mergeCell ref="C4:G4"/>
    <mergeCell ref="C5:G5"/>
    <mergeCell ref="C6:G6"/>
    <mergeCell ref="L4:M4"/>
    <mergeCell ref="BW35:BX35"/>
    <mergeCell ref="U36:V36"/>
    <mergeCell ref="W36:X36"/>
    <mergeCell ref="L52:P52"/>
    <mergeCell ref="Q52:T52"/>
    <mergeCell ref="BC35:BD35"/>
    <mergeCell ref="AJ36:AK36"/>
    <mergeCell ref="AH36:AI36"/>
    <mergeCell ref="AL36:AM36"/>
    <mergeCell ref="Y52:Z52"/>
    <mergeCell ref="AY35:AZ35"/>
    <mergeCell ref="BA35:BB35"/>
    <mergeCell ref="U35:Z35"/>
    <mergeCell ref="AJ35:AM35"/>
    <mergeCell ref="AN14:AX14"/>
    <mergeCell ref="AY14:BD14"/>
    <mergeCell ref="BC15:BD15"/>
    <mergeCell ref="BW15:BX15"/>
    <mergeCell ref="AY15:AZ15"/>
    <mergeCell ref="F8:K8"/>
    <mergeCell ref="A1:K1"/>
    <mergeCell ref="A2:K2"/>
    <mergeCell ref="H5:K5"/>
    <mergeCell ref="K10:M10"/>
    <mergeCell ref="A10:B10"/>
    <mergeCell ref="A54:B54"/>
    <mergeCell ref="L54:O54"/>
    <mergeCell ref="K11:M11"/>
    <mergeCell ref="H9:M9"/>
    <mergeCell ref="M50:Q50"/>
    <mergeCell ref="H53:J53"/>
    <mergeCell ref="H3:K3"/>
    <mergeCell ref="H4:K4"/>
    <mergeCell ref="N11:O11"/>
    <mergeCell ref="N5:P5"/>
    <mergeCell ref="A17:B17"/>
    <mergeCell ref="H6:K6"/>
    <mergeCell ref="L7:M7"/>
    <mergeCell ref="L5:M5"/>
    <mergeCell ref="N8:P8"/>
    <mergeCell ref="A9:E9"/>
    <mergeCell ref="P9:T9"/>
    <mergeCell ref="G12:H12"/>
    <mergeCell ref="L3:M3"/>
    <mergeCell ref="AE12:AM12"/>
    <mergeCell ref="AF36:AG36"/>
    <mergeCell ref="U16:V16"/>
    <mergeCell ref="W16:X16"/>
    <mergeCell ref="V8:AC8"/>
    <mergeCell ref="U1:AD7"/>
    <mergeCell ref="AA35:AD35"/>
    <mergeCell ref="Q5:T5"/>
    <mergeCell ref="Q6:T6"/>
    <mergeCell ref="L6:M6"/>
    <mergeCell ref="Q7:T7"/>
    <mergeCell ref="Q8:T8"/>
    <mergeCell ref="N4:O4"/>
    <mergeCell ref="N6:P6"/>
    <mergeCell ref="N7:P7"/>
    <mergeCell ref="L8:M8"/>
    <mergeCell ref="AH16:AI16"/>
    <mergeCell ref="AF16:AG16"/>
    <mergeCell ref="U15:Z15"/>
    <mergeCell ref="AH15:AI15"/>
    <mergeCell ref="L70:M70"/>
    <mergeCell ref="B59:C59"/>
    <mergeCell ref="D59:T59"/>
    <mergeCell ref="A51:C51"/>
    <mergeCell ref="I14:N14"/>
    <mergeCell ref="A12:C12"/>
    <mergeCell ref="O15:T15"/>
    <mergeCell ref="N12:O12"/>
    <mergeCell ref="N13:O13"/>
    <mergeCell ref="K12:M12"/>
    <mergeCell ref="C36:G36"/>
    <mergeCell ref="A37:B37"/>
    <mergeCell ref="I16:J16"/>
    <mergeCell ref="K16:L16"/>
    <mergeCell ref="I15:N15"/>
    <mergeCell ref="A35:G35"/>
    <mergeCell ref="A15:G15"/>
    <mergeCell ref="A56:B56"/>
    <mergeCell ref="A57:B57"/>
    <mergeCell ref="D51:F51"/>
    <mergeCell ref="G51:H51"/>
    <mergeCell ref="A55:B55"/>
    <mergeCell ref="D58:F58"/>
    <mergeCell ref="H58:J58"/>
    <mergeCell ref="E71:F71"/>
    <mergeCell ref="E64:F64"/>
    <mergeCell ref="C66:D66"/>
    <mergeCell ref="C65:D65"/>
    <mergeCell ref="C64:D64"/>
    <mergeCell ref="H65:I65"/>
    <mergeCell ref="F55:F56"/>
    <mergeCell ref="C63:D63"/>
    <mergeCell ref="H71:I71"/>
    <mergeCell ref="C62:D62"/>
    <mergeCell ref="A61:G61"/>
    <mergeCell ref="A68:C68"/>
    <mergeCell ref="E70:F70"/>
    <mergeCell ref="H64:I64"/>
    <mergeCell ref="E63:F63"/>
    <mergeCell ref="E65:F65"/>
    <mergeCell ref="E66:F66"/>
    <mergeCell ref="H63:I63"/>
    <mergeCell ref="E62:F62"/>
    <mergeCell ref="B67:O67"/>
    <mergeCell ref="H57:K57"/>
    <mergeCell ref="J63:K63"/>
    <mergeCell ref="N64:O64"/>
    <mergeCell ref="H70:I70"/>
    <mergeCell ref="H54:I54"/>
    <mergeCell ref="L58:O58"/>
    <mergeCell ref="L55:O55"/>
    <mergeCell ref="L56:P56"/>
    <mergeCell ref="N10:O10"/>
    <mergeCell ref="O16:T16"/>
    <mergeCell ref="L57:O57"/>
    <mergeCell ref="O36:T36"/>
    <mergeCell ref="L53:O53"/>
    <mergeCell ref="H35:K35"/>
    <mergeCell ref="H36:I36"/>
    <mergeCell ref="L33:P33"/>
    <mergeCell ref="H34:N34"/>
    <mergeCell ref="G10:H10"/>
    <mergeCell ref="M98:N98"/>
    <mergeCell ref="B96:C96"/>
    <mergeCell ref="I98:J98"/>
    <mergeCell ref="I94:J94"/>
    <mergeCell ref="A3:A6"/>
    <mergeCell ref="A11:C11"/>
    <mergeCell ref="D11:E11"/>
    <mergeCell ref="A8:B8"/>
    <mergeCell ref="N9:O9"/>
    <mergeCell ref="G11:H11"/>
    <mergeCell ref="C10:E10"/>
    <mergeCell ref="C3:G3"/>
    <mergeCell ref="D12:E12"/>
    <mergeCell ref="J61:M61"/>
    <mergeCell ref="J62:K62"/>
    <mergeCell ref="N62:O62"/>
    <mergeCell ref="H56:K56"/>
    <mergeCell ref="B91:C91"/>
    <mergeCell ref="B92:C92"/>
    <mergeCell ref="E94:F94"/>
    <mergeCell ref="I95:J95"/>
    <mergeCell ref="A76:F76"/>
    <mergeCell ref="A82:B82"/>
    <mergeCell ref="A84:B84"/>
    <mergeCell ref="C84:D84"/>
    <mergeCell ref="E95:F95"/>
    <mergeCell ref="A89:C89"/>
    <mergeCell ref="E86:F86"/>
    <mergeCell ref="E87:F87"/>
    <mergeCell ref="G86:H86"/>
    <mergeCell ref="G87:H87"/>
    <mergeCell ref="H82:I82"/>
    <mergeCell ref="F78:G78"/>
    <mergeCell ref="H79:I79"/>
    <mergeCell ref="H80:I80"/>
    <mergeCell ref="H81:I81"/>
    <mergeCell ref="A78:C78"/>
    <mergeCell ref="E90:F90"/>
    <mergeCell ref="G90:H90"/>
    <mergeCell ref="G91:H91"/>
    <mergeCell ref="H88:I88"/>
    <mergeCell ref="E92:F92"/>
    <mergeCell ref="E91:F91"/>
    <mergeCell ref="H78:J78"/>
    <mergeCell ref="H83:J83"/>
    <mergeCell ref="C72:D72"/>
    <mergeCell ref="H72:I72"/>
    <mergeCell ref="J72:K72"/>
    <mergeCell ref="C74:D74"/>
    <mergeCell ref="E74:F74"/>
    <mergeCell ref="H74:I74"/>
    <mergeCell ref="C73:D73"/>
    <mergeCell ref="E73:F73"/>
    <mergeCell ref="H73:I73"/>
    <mergeCell ref="J73:K73"/>
    <mergeCell ref="J74:K74"/>
    <mergeCell ref="E72:F72"/>
    <mergeCell ref="U106:X106"/>
    <mergeCell ref="U101:X103"/>
    <mergeCell ref="O99:P99"/>
    <mergeCell ref="E89:H89"/>
    <mergeCell ref="S99:T99"/>
    <mergeCell ref="O98:P98"/>
    <mergeCell ref="G96:H96"/>
    <mergeCell ref="M95:N95"/>
    <mergeCell ref="A106:T106"/>
    <mergeCell ref="A102:T102"/>
    <mergeCell ref="A103:T103"/>
    <mergeCell ref="A104:T104"/>
    <mergeCell ref="B98:C98"/>
    <mergeCell ref="A94:C94"/>
    <mergeCell ref="B95:C95"/>
    <mergeCell ref="I90:J90"/>
    <mergeCell ref="E98:F98"/>
    <mergeCell ref="G98:H98"/>
    <mergeCell ref="B97:C97"/>
    <mergeCell ref="K98:L98"/>
    <mergeCell ref="M94:N94"/>
    <mergeCell ref="K96:L96"/>
    <mergeCell ref="G97:H97"/>
    <mergeCell ref="B90:C90"/>
    <mergeCell ref="O97:P97"/>
    <mergeCell ref="G92:H92"/>
    <mergeCell ref="G95:H95"/>
    <mergeCell ref="I97:J97"/>
    <mergeCell ref="K97:L97"/>
    <mergeCell ref="G94:H94"/>
    <mergeCell ref="K94:L94"/>
    <mergeCell ref="E97:F97"/>
    <mergeCell ref="E96:F96"/>
    <mergeCell ref="K95:L95"/>
    <mergeCell ref="I92:J92"/>
    <mergeCell ref="M92:N92"/>
    <mergeCell ref="K90:L90"/>
    <mergeCell ref="K91:L91"/>
    <mergeCell ref="K92:L92"/>
    <mergeCell ref="M90:N90"/>
    <mergeCell ref="U59:AD87"/>
    <mergeCell ref="M91:N91"/>
    <mergeCell ref="U97:AD97"/>
    <mergeCell ref="M97:N97"/>
    <mergeCell ref="M86:N86"/>
    <mergeCell ref="Q61:S61"/>
    <mergeCell ref="L62:M62"/>
    <mergeCell ref="J64:K64"/>
    <mergeCell ref="J70:K70"/>
    <mergeCell ref="N70:O70"/>
    <mergeCell ref="Q67:T67"/>
    <mergeCell ref="P73:T73"/>
    <mergeCell ref="P74:T74"/>
    <mergeCell ref="M89:O89"/>
    <mergeCell ref="O82:T82"/>
    <mergeCell ref="K82:N82"/>
    <mergeCell ref="O88:Q88"/>
    <mergeCell ref="R88:S88"/>
    <mergeCell ref="K81:L81"/>
    <mergeCell ref="P75:T75"/>
    <mergeCell ref="H75:I75"/>
    <mergeCell ref="N73:O73"/>
    <mergeCell ref="K79:L79"/>
    <mergeCell ref="K78:N78"/>
    <mergeCell ref="J75:K75"/>
    <mergeCell ref="N75:O75"/>
    <mergeCell ref="K80:L80"/>
    <mergeCell ref="L72:M72"/>
    <mergeCell ref="L73:M73"/>
    <mergeCell ref="L74:M74"/>
    <mergeCell ref="N74:O74"/>
    <mergeCell ref="H76:O76"/>
    <mergeCell ref="H61:I61"/>
    <mergeCell ref="H62:I62"/>
    <mergeCell ref="J66:K66"/>
    <mergeCell ref="L66:M66"/>
    <mergeCell ref="H69:I69"/>
    <mergeCell ref="H66:I66"/>
    <mergeCell ref="N65:O65"/>
    <mergeCell ref="AA106:AD106"/>
    <mergeCell ref="U98:AD98"/>
    <mergeCell ref="U99:AD99"/>
    <mergeCell ref="U89:AD93"/>
    <mergeCell ref="H99:L99"/>
    <mergeCell ref="M99:N99"/>
    <mergeCell ref="O95:P95"/>
    <mergeCell ref="O94:Q94"/>
    <mergeCell ref="O96:P96"/>
    <mergeCell ref="U104:X104"/>
    <mergeCell ref="I96:J96"/>
    <mergeCell ref="M96:N96"/>
    <mergeCell ref="U94:AD94"/>
    <mergeCell ref="U95:AD95"/>
    <mergeCell ref="U96:AD96"/>
    <mergeCell ref="I91:J91"/>
    <mergeCell ref="P69:T69"/>
    <mergeCell ref="J71:K71"/>
    <mergeCell ref="O78:T81"/>
    <mergeCell ref="P71:T71"/>
    <mergeCell ref="M87:N87"/>
    <mergeCell ref="L75:M75"/>
    <mergeCell ref="P76:T76"/>
    <mergeCell ref="N2:O2"/>
    <mergeCell ref="P3:P4"/>
    <mergeCell ref="L64:M64"/>
    <mergeCell ref="N72:O72"/>
    <mergeCell ref="L65:M65"/>
    <mergeCell ref="N66:O66"/>
    <mergeCell ref="N69:O69"/>
    <mergeCell ref="N3:O3"/>
    <mergeCell ref="P14:Q14"/>
    <mergeCell ref="P72:T72"/>
    <mergeCell ref="P70:T70"/>
    <mergeCell ref="L35:N35"/>
    <mergeCell ref="L63:M63"/>
    <mergeCell ref="N61:O61"/>
    <mergeCell ref="N63:O63"/>
    <mergeCell ref="N71:O71"/>
    <mergeCell ref="J69:M69"/>
    <mergeCell ref="L71:M71"/>
  </mergeCells>
  <conditionalFormatting sqref="G76">
    <cfRule type="cellIs" dxfId="0" priority="3" operator="lessThan">
      <formula>IF(F8="μονοκατοικια, πολυκατοικια",0.5,1)</formula>
    </cfRule>
  </conditionalFormatting>
  <dataValidations xWindow="574" yWindow="554" count="40">
    <dataValidation type="list" allowBlank="1" showInputMessage="1" showErrorMessage="1" sqref="I15:N15">
      <formula1>IF(OR(I14=DA1,I14=DA2,I14=DA3,I14=DA4,I14=DA5),CC1:CC7,IF(I14=DA6,CH1:CH9,IF(I14=DA7,CM1:CM4,IF(I14=DA9,CR1:CR5,IF(I14=DA8,CC9:CC12,CR7:CR12)))))</formula1>
    </dataValidation>
    <dataValidation type="list" allowBlank="1" showInputMessage="1" showErrorMessage="1" sqref="K16:L16">
      <formula1>IF(OR(I14=DA9,I14=DA10),CP12,CM10:CM13)</formula1>
    </dataValidation>
    <dataValidation type="list" allowBlank="1" showInputMessage="1" showErrorMessage="1" sqref="I16:J16">
      <formula1>IF(I14=DA8,CP12,IF(I14=DA9,CP6:CP9,IF(I14=DA10,CP6:CP10,CM6:CM8)))</formula1>
    </dataValidation>
    <dataValidation type="list" allowBlank="1" showInputMessage="1" showErrorMessage="1" sqref="L35:N35">
      <formula1>IF(H35=DI2,DF8:DF10,DF1:DF6)</formula1>
    </dataValidation>
    <dataValidation type="list" allowBlank="1" showInputMessage="1" showErrorMessage="1" sqref="A56:B56">
      <formula1>$AO$2:$AO$6</formula1>
    </dataValidation>
    <dataValidation type="list" allowBlank="1" showInputMessage="1" showErrorMessage="1" sqref="A55:B55">
      <formula1>$AP$2:$AP$7</formula1>
    </dataValidation>
    <dataValidation type="list" allowBlank="1" showInputMessage="1" showErrorMessage="1" sqref="D57:E57">
      <formula1>$AQ$1:$AQ$3</formula1>
    </dataValidation>
    <dataValidation type="list" allowBlank="1" showInputMessage="1" showErrorMessage="1" sqref="G52 Q89 S89:T89 T61">
      <formula1>"ΟΧΙ,ΝΑΙ"</formula1>
    </dataValidation>
    <dataValidation type="list" allowBlank="1" showInputMessage="1" showErrorMessage="1" sqref="H55:K55">
      <formula1>$AR$3:$AR$4</formula1>
    </dataValidation>
    <dataValidation type="list" allowBlank="1" showInputMessage="1" showErrorMessage="1" sqref="H56:K56">
      <formula1>$AR$6:$AR$9</formula1>
    </dataValidation>
    <dataValidation type="list" allowBlank="1" showInputMessage="1" showErrorMessage="1" sqref="H57:K57">
      <formula1>$AR$11:$AR$12</formula1>
    </dataValidation>
    <dataValidation type="list" allowBlank="1" showInputMessage="1" showErrorMessage="1" sqref="L53:O53">
      <formula1>$AT$51:$AT$53</formula1>
    </dataValidation>
    <dataValidation type="list" allowBlank="1" showInputMessage="1" showErrorMessage="1" sqref="L54:O54">
      <formula1>$AT$56:$AT$57</formula1>
    </dataValidation>
    <dataValidation type="list" allowBlank="1" showInputMessage="1" showErrorMessage="1" sqref="L55:O55">
      <formula1>$AT$60:$AT$61</formula1>
    </dataValidation>
    <dataValidation type="list" allowBlank="1" showInputMessage="1" showErrorMessage="1" sqref="L56">
      <formula1>$AT$65:$AT$69</formula1>
    </dataValidation>
    <dataValidation type="list" allowBlank="1" showInputMessage="1" showErrorMessage="1" sqref="L57:O57">
      <formula1>$AT$71:$AT$74</formula1>
    </dataValidation>
    <dataValidation type="list" allowBlank="1" showInputMessage="1" showErrorMessage="1" sqref="C86:D86">
      <formula1>"ναι,όχι"</formula1>
    </dataValidation>
    <dataValidation type="list" allowBlank="1" showInputMessage="1" showErrorMessage="1" sqref="C87:D87">
      <formula1>"-,ναι,όχι"</formula1>
    </dataValidation>
    <dataValidation type="list" allowBlank="1" showInputMessage="1" showErrorMessage="1" sqref="F8:K8 B91:C92 B96:C98">
      <formula1>sys!$B$49:$B$92</formula1>
    </dataValidation>
    <dataValidation type="list" allowBlank="1" showInputMessage="1" showErrorMessage="1" sqref="N9:O9">
      <formula1>"-,ΟΧΙ,ΝΑΙ"</formula1>
    </dataValidation>
    <dataValidation type="list" allowBlank="1" showInputMessage="1" showErrorMessage="1" sqref="N8:P8">
      <formula1>"κτιριακη μοναδα,ολοκληρο κτιριο"</formula1>
    </dataValidation>
    <dataValidation type="list" allowBlank="1" showInputMessage="1" showErrorMessage="1" sqref="B86:B87">
      <formula1>"επιλογή τύπου,Απλός,Επιλεκτικός,Κενου"</formula1>
    </dataValidation>
    <dataValidation type="list" allowBlank="1" showInputMessage="1" showErrorMessage="1" sqref="C84:D84">
      <formula1>"[υφιστάμενος],[σενάριο]"</formula1>
    </dataValidation>
    <dataValidation type="list" allowBlank="1" showInputMessage="1" showErrorMessage="1" sqref="I14:N14">
      <formula1>$DA$1:$DA$10</formula1>
    </dataValidation>
    <dataValidation type="list" allowBlank="1" showInputMessage="1" showErrorMessage="1" sqref="H35:K35">
      <formula1>$DI$1:$DI$9</formula1>
    </dataValidation>
    <dataValidation type="list" allowBlank="1" showInputMessage="1" showErrorMessage="1" sqref="J36">
      <formula1>"Αναλ.,0,5,10,15,20,25,30,35,40,45,50,60,70,80,90,100"</formula1>
    </dataValidation>
    <dataValidation type="list" allowBlank="1" showInputMessage="1" showErrorMessage="1" sqref="H14">
      <formula1>sys!Q141:Q143</formula1>
    </dataValidation>
    <dataValidation type="list" allowBlank="1" showInputMessage="1" showErrorMessage="1" sqref="H15">
      <formula1>sys!R144:R146</formula1>
    </dataValidation>
    <dataValidation operator="equal" allowBlank="1" showInputMessage="1" showErrorMessage="1" sqref="K52"/>
    <dataValidation type="list" allowBlank="1" showInputMessage="1" showErrorMessage="1" sqref="T64">
      <formula1>"ΝΑΙ,ΟΧΙ"</formula1>
    </dataValidation>
    <dataValidation type="list" allowBlank="1" showInputMessage="1" showErrorMessage="1" sqref="R64">
      <formula1>"Α,Β,Γ,Δ"</formula1>
    </dataValidation>
    <dataValidation type="list" allowBlank="1" showInputMessage="1" showErrorMessage="1" sqref="J87">
      <formula1>"οχι,ναι"</formula1>
    </dataValidation>
    <dataValidation type="list" allowBlank="1" showInputMessage="1" showErrorMessage="1" sqref="J86">
      <formula1>"οχι,ναι"</formula1>
    </dataValidation>
    <dataValidation type="list" allowBlank="1" showInputMessage="1" showErrorMessage="1" sqref="I86">
      <formula1>"-,15,45,65"</formula1>
    </dataValidation>
    <dataValidation type="list" allowBlank="1" showInputMessage="1" showErrorMessage="1" sqref="I87">
      <formula1>"-,15,45,65"</formula1>
    </dataValidation>
    <dataValidation type="list" allowBlank="1" showInputMessage="1" showErrorMessage="1" sqref="G86:H87">
      <formula1>sys!$C$190:$C$201</formula1>
    </dataValidation>
    <dataValidation type="list" allowBlank="1" showInputMessage="1" showErrorMessage="1" sqref="E86:F87">
      <formula1>sys!$O$195:$O$197</formula1>
    </dataValidation>
    <dataValidation type="list" allowBlank="1" showInputMessage="1" showErrorMessage="1" sqref="A14">
      <formula1>sys!C227:C233</formula1>
    </dataValidation>
    <dataValidation type="list" allowBlank="1" showInputMessage="1" showErrorMessage="1" sqref="C13:D13">
      <formula1>sys!N220:N223</formula1>
    </dataValidation>
    <dataValidation type="list" allowBlank="1" showInputMessage="1" showErrorMessage="1" sqref="J38:J49">
      <formula1>"ειδος Α,ειδος Β,ειδος Γ,άλλο,οχι"</formula1>
    </dataValidation>
  </dataValidations>
  <hyperlinks>
    <hyperlink ref="Q6:T6" r:id="rId1" display="www.gzafeirakis.gr | ©2017"/>
    <hyperlink ref="AA106:AD106" r:id="rId2" display="www.gzafeirakis.gr | ©2017"/>
    <hyperlink ref="U101:X103" r:id="rId3" display="&quot;Οποιαδήποτε διόρθωση ή αναβάθμιση του υπολογιστικού φύλλου θα δημοσιεύεται στην ιστοσελίδα μας&quot; "/>
    <hyperlink ref="U104:X104" r:id="rId4" display="Δείτε επίσης τις ΓΕΝΙΚΕΣ ΟΔΗΓΙΕΣ ΧΡΗΣΗΣ που θα βρείτε στην ιστοσελίδα."/>
  </hyperlinks>
  <pageMargins left="0.70866141732283472" right="0.70866141732283472" top="0.74803149606299213" bottom="0.74803149606299213" header="0.31496062992125984" footer="0.31496062992125984"/>
  <pageSetup paperSize="9" orientation="landscape" blackAndWhite="1" r:id="rId5"/>
  <headerFooter>
    <oddFooter>&amp;L&amp;9&amp;Z&amp;R&amp;9E.C.A. 4.00 | (c)2017 - www. gzafeirakis.gr</oddFooter>
  </headerFooter>
  <drawing r:id="rId6"/>
  <legacyDrawing r:id="rId7"/>
</worksheet>
</file>

<file path=xl/worksheets/sheet2.xml><?xml version="1.0" encoding="utf-8"?>
<worksheet xmlns="http://schemas.openxmlformats.org/spreadsheetml/2006/main" xmlns:r="http://schemas.openxmlformats.org/officeDocument/2006/relationships">
  <dimension ref="A1:X242"/>
  <sheetViews>
    <sheetView workbookViewId="0"/>
  </sheetViews>
  <sheetFormatPr defaultColWidth="8.88671875" defaultRowHeight="14.4"/>
  <cols>
    <col min="1" max="2" width="8.88671875" style="351"/>
    <col min="3" max="3" width="11.33203125" style="351" customWidth="1"/>
    <col min="4" max="4" width="11.6640625" style="351" customWidth="1"/>
    <col min="5" max="8" width="8.88671875" style="351"/>
    <col min="9" max="9" width="10" style="351" customWidth="1"/>
    <col min="10" max="10" width="11.6640625" style="351" customWidth="1"/>
    <col min="11" max="11" width="10.33203125" style="351" customWidth="1"/>
    <col min="12" max="12" width="10.6640625" style="351" customWidth="1"/>
    <col min="13" max="13" width="9.6640625" style="351" bestFit="1" customWidth="1"/>
    <col min="14" max="14" width="9.44140625" style="351" bestFit="1" customWidth="1"/>
    <col min="15" max="19" width="8.88671875" style="351"/>
    <col min="20" max="20" width="9.6640625" style="351" bestFit="1" customWidth="1"/>
    <col min="21" max="16384" width="8.88671875" style="351"/>
  </cols>
  <sheetData>
    <row r="1" spans="2:14" ht="15" thickBot="1"/>
    <row r="2" spans="2:14">
      <c r="B2" s="352" t="s">
        <v>141</v>
      </c>
      <c r="C2" s="353"/>
      <c r="D2" s="354"/>
      <c r="F2" s="355" t="s">
        <v>140</v>
      </c>
      <c r="G2" s="356"/>
      <c r="H2" s="356"/>
      <c r="I2" s="356"/>
      <c r="J2" s="357"/>
    </row>
    <row r="3" spans="2:14">
      <c r="B3" s="358" t="s">
        <v>136</v>
      </c>
      <c r="C3" s="359"/>
      <c r="D3" s="360">
        <v>18</v>
      </c>
      <c r="F3" s="361" t="s">
        <v>142</v>
      </c>
      <c r="G3" s="362"/>
      <c r="H3" s="362"/>
      <c r="I3" s="362"/>
      <c r="J3" s="363">
        <v>3.5</v>
      </c>
    </row>
    <row r="4" spans="2:14">
      <c r="B4" s="358" t="s">
        <v>137</v>
      </c>
      <c r="C4" s="359"/>
      <c r="D4" s="360">
        <v>20</v>
      </c>
      <c r="F4" s="361" t="s">
        <v>143</v>
      </c>
      <c r="G4" s="362"/>
      <c r="H4" s="362"/>
      <c r="I4" s="362"/>
      <c r="J4" s="363">
        <v>1.55</v>
      </c>
    </row>
    <row r="5" spans="2:14">
      <c r="B5" s="358" t="s">
        <v>138</v>
      </c>
      <c r="C5" s="359"/>
      <c r="D5" s="360">
        <v>23</v>
      </c>
      <c r="F5" s="361" t="s">
        <v>144</v>
      </c>
      <c r="G5" s="362"/>
      <c r="H5" s="362"/>
      <c r="I5" s="362"/>
      <c r="J5" s="363">
        <v>1.2</v>
      </c>
    </row>
    <row r="6" spans="2:14" ht="15" thickBot="1">
      <c r="B6" s="364" t="s">
        <v>139</v>
      </c>
      <c r="C6" s="365"/>
      <c r="D6" s="366">
        <v>28</v>
      </c>
      <c r="F6" s="361" t="s">
        <v>145</v>
      </c>
      <c r="G6" s="362"/>
      <c r="H6" s="362"/>
      <c r="I6" s="362"/>
      <c r="J6" s="363">
        <v>0.95</v>
      </c>
    </row>
    <row r="7" spans="2:14" ht="15" thickBot="1">
      <c r="F7" s="367" t="s">
        <v>146</v>
      </c>
      <c r="G7" s="368"/>
      <c r="H7" s="368"/>
      <c r="I7" s="368"/>
      <c r="J7" s="369" t="s">
        <v>147</v>
      </c>
    </row>
    <row r="10" spans="2:14">
      <c r="B10" s="370" t="s">
        <v>152</v>
      </c>
      <c r="C10" s="371" t="s">
        <v>153</v>
      </c>
      <c r="E10" s="372" t="s">
        <v>154</v>
      </c>
      <c r="F10" s="373"/>
      <c r="G10" s="373">
        <v>0</v>
      </c>
      <c r="H10" s="373">
        <v>100</v>
      </c>
      <c r="I10" s="373">
        <v>200</v>
      </c>
      <c r="J10" s="373">
        <v>300</v>
      </c>
      <c r="K10" s="374">
        <v>400</v>
      </c>
      <c r="M10" s="372">
        <v>0</v>
      </c>
      <c r="N10" s="374">
        <v>0.93600000000000005</v>
      </c>
    </row>
    <row r="11" spans="2:14">
      <c r="B11" s="375">
        <v>1</v>
      </c>
      <c r="C11" s="376">
        <v>1</v>
      </c>
      <c r="E11" s="377" t="s">
        <v>156</v>
      </c>
      <c r="F11" s="378"/>
      <c r="G11" s="378">
        <v>0.93600000000000005</v>
      </c>
      <c r="H11" s="378">
        <v>0.94899999999999995</v>
      </c>
      <c r="I11" s="378">
        <v>0.94799999999999995</v>
      </c>
      <c r="J11" s="378">
        <v>0.95099999999999996</v>
      </c>
      <c r="K11" s="379">
        <v>0.95199999999999996</v>
      </c>
      <c r="M11" s="380">
        <v>100</v>
      </c>
      <c r="N11" s="381">
        <v>0.94899999999999995</v>
      </c>
    </row>
    <row r="12" spans="2:14">
      <c r="B12" s="375">
        <v>1.25</v>
      </c>
      <c r="C12" s="376">
        <v>0.95</v>
      </c>
      <c r="M12" s="380">
        <v>200</v>
      </c>
      <c r="N12" s="381">
        <v>0.94799999999999995</v>
      </c>
    </row>
    <row r="13" spans="2:14">
      <c r="B13" s="375">
        <v>1.5</v>
      </c>
      <c r="C13" s="376">
        <v>0.85</v>
      </c>
      <c r="M13" s="380">
        <v>300</v>
      </c>
      <c r="N13" s="381">
        <v>0.95099999999999996</v>
      </c>
    </row>
    <row r="14" spans="2:14">
      <c r="B14" s="382">
        <v>2</v>
      </c>
      <c r="C14" s="383">
        <v>0.75</v>
      </c>
      <c r="M14" s="377">
        <v>400</v>
      </c>
      <c r="N14" s="379">
        <v>0.95199999999999996</v>
      </c>
    </row>
    <row r="16" spans="2:14">
      <c r="B16" s="836" t="s">
        <v>164</v>
      </c>
      <c r="C16" s="836"/>
      <c r="D16" s="836"/>
      <c r="E16" s="836"/>
      <c r="F16" s="836"/>
      <c r="G16" s="384"/>
      <c r="H16" s="836" t="s">
        <v>165</v>
      </c>
      <c r="I16" s="836"/>
      <c r="J16" s="836"/>
      <c r="K16" s="836"/>
      <c r="L16" s="836"/>
    </row>
    <row r="17" spans="1:17" ht="43.95" customHeight="1">
      <c r="B17" s="835" t="s">
        <v>172</v>
      </c>
      <c r="C17" s="385" t="s">
        <v>168</v>
      </c>
      <c r="D17" s="385" t="s">
        <v>169</v>
      </c>
      <c r="E17" s="385" t="s">
        <v>170</v>
      </c>
      <c r="F17" s="385" t="s">
        <v>171</v>
      </c>
      <c r="G17" s="837"/>
      <c r="H17" s="835" t="s">
        <v>172</v>
      </c>
      <c r="I17" s="385" t="s">
        <v>168</v>
      </c>
      <c r="J17" s="385" t="s">
        <v>169</v>
      </c>
      <c r="K17" s="385" t="s">
        <v>170</v>
      </c>
      <c r="L17" s="385" t="s">
        <v>171</v>
      </c>
    </row>
    <row r="18" spans="1:17">
      <c r="B18" s="835"/>
      <c r="C18" s="386"/>
      <c r="D18" s="386"/>
      <c r="E18" s="386"/>
      <c r="F18" s="386"/>
      <c r="G18" s="837"/>
      <c r="H18" s="835"/>
      <c r="I18" s="386"/>
      <c r="J18" s="386"/>
      <c r="K18" s="386"/>
      <c r="L18" s="386"/>
    </row>
    <row r="19" spans="1:17">
      <c r="B19" s="835"/>
      <c r="C19" s="387"/>
      <c r="D19" s="387"/>
      <c r="E19" s="387"/>
      <c r="F19" s="387"/>
      <c r="G19" s="837"/>
      <c r="H19" s="835"/>
      <c r="I19" s="387"/>
      <c r="J19" s="387"/>
      <c r="K19" s="387"/>
      <c r="L19" s="387"/>
    </row>
    <row r="20" spans="1:17">
      <c r="B20" s="836" t="s">
        <v>166</v>
      </c>
      <c r="C20" s="836"/>
      <c r="D20" s="836"/>
      <c r="E20" s="836"/>
      <c r="F20" s="836"/>
      <c r="G20" s="384"/>
      <c r="H20" s="836" t="s">
        <v>166</v>
      </c>
      <c r="I20" s="836"/>
      <c r="J20" s="836"/>
      <c r="K20" s="836"/>
      <c r="L20" s="836"/>
      <c r="N20" s="388" t="str">
        <f>ΥΠΟΛΟΓΙΣΜΟΙ!K54</f>
        <v>0</v>
      </c>
      <c r="O20" s="373"/>
      <c r="P20" s="373"/>
      <c r="Q20" s="374"/>
    </row>
    <row r="21" spans="1:17">
      <c r="A21" s="351" t="s">
        <v>382</v>
      </c>
      <c r="B21" s="389">
        <v>0</v>
      </c>
      <c r="C21" s="390">
        <v>5.5</v>
      </c>
      <c r="D21" s="390">
        <v>4.5</v>
      </c>
      <c r="E21" s="390">
        <v>11</v>
      </c>
      <c r="F21" s="390">
        <v>14</v>
      </c>
      <c r="G21" s="384"/>
      <c r="H21" s="389">
        <v>0</v>
      </c>
      <c r="I21" s="390">
        <v>8</v>
      </c>
      <c r="J21" s="390">
        <v>6.5</v>
      </c>
      <c r="K21" s="390">
        <v>17</v>
      </c>
      <c r="L21" s="390">
        <v>17</v>
      </c>
      <c r="N21" s="391" t="str">
        <f>ΥΠΟΛΟΓΙΣΜΟΙ!H55</f>
        <v>διέλευση σε εσ. ή/και 20% σε εξ.</v>
      </c>
      <c r="O21" s="362"/>
      <c r="P21" s="362"/>
      <c r="Q21" s="381"/>
    </row>
    <row r="22" spans="1:17">
      <c r="A22" s="351" t="s">
        <v>383</v>
      </c>
      <c r="B22" s="389">
        <v>100</v>
      </c>
      <c r="C22" s="390">
        <v>4</v>
      </c>
      <c r="D22" s="390">
        <v>3</v>
      </c>
      <c r="E22" s="390">
        <v>8.5</v>
      </c>
      <c r="F22" s="390">
        <v>12</v>
      </c>
      <c r="G22" s="384"/>
      <c r="H22" s="389">
        <v>100</v>
      </c>
      <c r="I22" s="390">
        <v>7.2</v>
      </c>
      <c r="J22" s="390">
        <v>5.7</v>
      </c>
      <c r="K22" s="390">
        <v>15.5</v>
      </c>
      <c r="L22" s="390">
        <v>15.5</v>
      </c>
      <c r="N22" s="391" t="str">
        <f>ΥΠΟΛΟΓΙΣΜΟΙ!H56</f>
        <v>χωρις μονωση</v>
      </c>
      <c r="O22" s="362"/>
      <c r="P22" s="362"/>
      <c r="Q22" s="381"/>
    </row>
    <row r="23" spans="1:17">
      <c r="A23" s="351" t="s">
        <v>384</v>
      </c>
      <c r="B23" s="389">
        <v>200</v>
      </c>
      <c r="C23" s="390">
        <v>3</v>
      </c>
      <c r="D23" s="390">
        <v>2.5</v>
      </c>
      <c r="E23" s="390">
        <v>6.5</v>
      </c>
      <c r="F23" s="390">
        <v>10.5</v>
      </c>
      <c r="G23" s="384"/>
      <c r="H23" s="389">
        <v>200</v>
      </c>
      <c r="I23" s="390">
        <v>6</v>
      </c>
      <c r="J23" s="390">
        <v>4.2</v>
      </c>
      <c r="K23" s="390">
        <v>14.2</v>
      </c>
      <c r="L23" s="390">
        <v>14.2</v>
      </c>
      <c r="N23" s="392" t="str">
        <f>ΥΠΟΛΟΓΙΣΜΟΙ!H57</f>
        <v>δικτυο με υψηλες θερμ. &gt;60οC</v>
      </c>
      <c r="O23" s="378"/>
      <c r="P23" s="378"/>
      <c r="Q23" s="379"/>
    </row>
    <row r="24" spans="1:17">
      <c r="A24" s="351" t="s">
        <v>385</v>
      </c>
      <c r="B24" s="389">
        <v>300</v>
      </c>
      <c r="C24" s="390">
        <v>2.5</v>
      </c>
      <c r="D24" s="390">
        <v>2</v>
      </c>
      <c r="E24" s="390">
        <v>5</v>
      </c>
      <c r="F24" s="390">
        <v>9.1999999999999993</v>
      </c>
      <c r="G24" s="384"/>
      <c r="H24" s="389">
        <v>300</v>
      </c>
      <c r="I24" s="390">
        <v>3.8</v>
      </c>
      <c r="J24" s="390">
        <v>2.7</v>
      </c>
      <c r="K24" s="390">
        <v>13.1</v>
      </c>
      <c r="L24" s="390">
        <v>13.1</v>
      </c>
    </row>
    <row r="25" spans="1:17">
      <c r="A25" s="351" t="s">
        <v>386</v>
      </c>
      <c r="B25" s="389">
        <v>400</v>
      </c>
      <c r="C25" s="390">
        <v>2</v>
      </c>
      <c r="D25" s="390">
        <v>1.5</v>
      </c>
      <c r="E25" s="390">
        <v>4</v>
      </c>
      <c r="F25" s="390">
        <v>7</v>
      </c>
      <c r="G25" s="384"/>
      <c r="H25" s="389">
        <v>400</v>
      </c>
      <c r="I25" s="390">
        <v>3</v>
      </c>
      <c r="J25" s="390">
        <v>2</v>
      </c>
      <c r="K25" s="390">
        <v>12</v>
      </c>
      <c r="L25" s="390">
        <v>12</v>
      </c>
      <c r="N25" s="384">
        <f>MROUND(N20,100)</f>
        <v>0</v>
      </c>
      <c r="O25" s="384">
        <f>IF((N25-N20)&lt;0,N25,N25-100)</f>
        <v>-100</v>
      </c>
      <c r="P25" s="393">
        <f>IF(O25&lt;400,O25,400)</f>
        <v>-100</v>
      </c>
      <c r="Q25" s="384"/>
    </row>
    <row r="26" spans="1:17">
      <c r="B26" s="836" t="s">
        <v>167</v>
      </c>
      <c r="C26" s="836"/>
      <c r="D26" s="836"/>
      <c r="E26" s="836"/>
      <c r="F26" s="836"/>
      <c r="G26" s="384"/>
      <c r="H26" s="836" t="s">
        <v>167</v>
      </c>
      <c r="I26" s="836"/>
      <c r="J26" s="836"/>
      <c r="K26" s="836"/>
      <c r="L26" s="836"/>
    </row>
    <row r="27" spans="1:17">
      <c r="B27" s="389">
        <v>0</v>
      </c>
      <c r="C27" s="390">
        <v>3.5</v>
      </c>
      <c r="D27" s="390">
        <v>3</v>
      </c>
      <c r="E27" s="390">
        <v>8</v>
      </c>
      <c r="F27" s="390">
        <v>9</v>
      </c>
      <c r="G27" s="384"/>
      <c r="H27" s="389">
        <v>0</v>
      </c>
      <c r="I27" s="390">
        <v>4.5</v>
      </c>
      <c r="J27" s="390">
        <v>3.7</v>
      </c>
      <c r="K27" s="390">
        <v>11</v>
      </c>
      <c r="L27" s="390">
        <v>11</v>
      </c>
      <c r="N27" s="838" t="s">
        <v>174</v>
      </c>
      <c r="O27" s="838"/>
      <c r="P27" s="838" t="s">
        <v>175</v>
      </c>
      <c r="Q27" s="838"/>
    </row>
    <row r="28" spans="1:17">
      <c r="B28" s="389">
        <v>100</v>
      </c>
      <c r="C28" s="390">
        <v>2.7</v>
      </c>
      <c r="D28" s="390">
        <v>2.2000000000000002</v>
      </c>
      <c r="E28" s="390">
        <v>7.2</v>
      </c>
      <c r="F28" s="390">
        <v>8.3000000000000007</v>
      </c>
      <c r="G28" s="384"/>
      <c r="H28" s="389">
        <v>100</v>
      </c>
      <c r="I28" s="390">
        <v>4</v>
      </c>
      <c r="J28" s="390">
        <v>3.1</v>
      </c>
      <c r="K28" s="390">
        <v>10.4</v>
      </c>
      <c r="L28" s="390">
        <v>10.4</v>
      </c>
      <c r="N28" s="394" t="e">
        <f>IF(N21="διέλευση σε εσ. ή/και 20% σε εξ.",IF(N23="δικτυο με υψηλες θερμ. &gt;60οC",INDEX(C21:F25,MATCH(P25,B21:B25,0),MATCH(N22,C17:F17,0)),INDEX(C27:F31,MATCH(P25,B27:B31,0),MATCH(N22,C17:F17,0))),IF(N23="δικτυο με υψηλες θερμ. &gt;60οC",INDEX(I21:L25,MATCH(P25,H21:H25,0),MATCH(N22,I17:L17,0)),INDEX(I27:L31,MATCH(P25,H27:H31,0),MATCH(N22,I17:L17,0))))</f>
        <v>#N/A</v>
      </c>
      <c r="P28" s="351" t="e">
        <f>(100-N28)/100</f>
        <v>#N/A</v>
      </c>
    </row>
    <row r="29" spans="1:17">
      <c r="B29" s="389">
        <v>200</v>
      </c>
      <c r="C29" s="390">
        <v>2</v>
      </c>
      <c r="D29" s="390">
        <v>1.8</v>
      </c>
      <c r="E29" s="390">
        <v>6</v>
      </c>
      <c r="F29" s="390">
        <v>6.2</v>
      </c>
      <c r="G29" s="384"/>
      <c r="H29" s="389">
        <v>200</v>
      </c>
      <c r="I29" s="390">
        <v>3.3</v>
      </c>
      <c r="J29" s="390">
        <v>2.5</v>
      </c>
      <c r="K29" s="390">
        <v>10</v>
      </c>
      <c r="L29" s="390">
        <v>10</v>
      </c>
    </row>
    <row r="30" spans="1:17">
      <c r="B30" s="389">
        <v>300</v>
      </c>
      <c r="C30" s="390">
        <v>1.5</v>
      </c>
      <c r="D30" s="390">
        <v>1.2</v>
      </c>
      <c r="E30" s="390">
        <v>4.5</v>
      </c>
      <c r="F30" s="390">
        <v>5</v>
      </c>
      <c r="G30" s="384"/>
      <c r="H30" s="389">
        <v>300</v>
      </c>
      <c r="I30" s="390">
        <v>2.2000000000000002</v>
      </c>
      <c r="J30" s="390">
        <v>1.8</v>
      </c>
      <c r="K30" s="390">
        <v>9.6999999999999993</v>
      </c>
      <c r="L30" s="390">
        <v>9.6999999999999993</v>
      </c>
    </row>
    <row r="31" spans="1:17">
      <c r="B31" s="389">
        <v>400</v>
      </c>
      <c r="C31" s="390">
        <v>1.2</v>
      </c>
      <c r="D31" s="390">
        <v>0.8</v>
      </c>
      <c r="E31" s="390">
        <v>3.3</v>
      </c>
      <c r="F31" s="390">
        <v>4</v>
      </c>
      <c r="G31" s="384"/>
      <c r="H31" s="389">
        <v>400</v>
      </c>
      <c r="I31" s="390">
        <v>1.7</v>
      </c>
      <c r="J31" s="390">
        <v>1</v>
      </c>
      <c r="K31" s="390">
        <v>9.5</v>
      </c>
      <c r="L31" s="390">
        <v>9.5</v>
      </c>
    </row>
    <row r="34" spans="2:21">
      <c r="B34" s="351" t="s">
        <v>178</v>
      </c>
      <c r="H34" s="351" t="s">
        <v>188</v>
      </c>
      <c r="K34" s="351" t="s">
        <v>194</v>
      </c>
      <c r="L34" s="351" t="s">
        <v>195</v>
      </c>
      <c r="M34" s="351" t="s">
        <v>196</v>
      </c>
    </row>
    <row r="35" spans="2:21">
      <c r="B35" s="351" t="s">
        <v>180</v>
      </c>
      <c r="E35" s="394">
        <v>1</v>
      </c>
      <c r="H35" s="351" t="s">
        <v>189</v>
      </c>
      <c r="K35" s="384">
        <v>0.85</v>
      </c>
      <c r="L35" s="384">
        <v>0.89</v>
      </c>
      <c r="M35" s="384">
        <v>0.91</v>
      </c>
    </row>
    <row r="36" spans="2:21">
      <c r="B36" s="351" t="s">
        <v>179</v>
      </c>
      <c r="E36" s="394">
        <v>0.95</v>
      </c>
      <c r="H36" s="351" t="s">
        <v>190</v>
      </c>
      <c r="K36" s="384">
        <v>0.89</v>
      </c>
      <c r="L36" s="384">
        <v>0.93</v>
      </c>
      <c r="M36" s="384">
        <v>0.95</v>
      </c>
    </row>
    <row r="37" spans="2:21">
      <c r="B37" s="351" t="s">
        <v>181</v>
      </c>
      <c r="E37" s="394">
        <v>1</v>
      </c>
      <c r="H37" s="351" t="s">
        <v>191</v>
      </c>
      <c r="K37" s="384" t="s">
        <v>197</v>
      </c>
      <c r="L37" s="384" t="s">
        <v>197</v>
      </c>
      <c r="M37" s="384">
        <v>0.9</v>
      </c>
      <c r="Q37" s="351" t="s">
        <v>588</v>
      </c>
      <c r="R37" s="843" t="str">
        <f>ΥΠΟΛΟΓΙΣΜΟΙ!F8</f>
        <v>[χρηση κτιριου ή κτιριακης μοναδας]</v>
      </c>
      <c r="S37" s="844"/>
      <c r="T37" s="844"/>
      <c r="U37" s="844"/>
    </row>
    <row r="38" spans="2:21">
      <c r="E38" s="394"/>
      <c r="H38" s="351" t="s">
        <v>192</v>
      </c>
      <c r="K38" s="384" t="s">
        <v>197</v>
      </c>
      <c r="L38" s="384" t="s">
        <v>197</v>
      </c>
      <c r="M38" s="384">
        <v>0.87</v>
      </c>
    </row>
    <row r="39" spans="2:21">
      <c r="B39" s="351" t="s">
        <v>182</v>
      </c>
      <c r="E39" s="394"/>
      <c r="H39" s="351" t="s">
        <v>193</v>
      </c>
      <c r="K39" s="384" t="s">
        <v>197</v>
      </c>
      <c r="L39" s="384" t="s">
        <v>197</v>
      </c>
      <c r="M39" s="384">
        <v>0.85</v>
      </c>
      <c r="R39" s="395" t="s">
        <v>577</v>
      </c>
      <c r="S39" s="396" t="e">
        <f>INDEX(L50:L92,MATCH(R37,B50:B92,0))</f>
        <v>#N/A</v>
      </c>
      <c r="T39" s="397" t="s">
        <v>581</v>
      </c>
      <c r="U39" s="398" t="e">
        <f>INDEX(M50:M92,MATCH(R37,B50:B92,0))</f>
        <v>#N/A</v>
      </c>
    </row>
    <row r="40" spans="2:21" ht="15" thickBot="1">
      <c r="B40" s="351" t="s">
        <v>183</v>
      </c>
      <c r="E40" s="394">
        <v>1</v>
      </c>
      <c r="R40" s="399" t="s">
        <v>583</v>
      </c>
      <c r="S40" s="400">
        <f>ΥΠΟΛΟΓΙΣΜΟΙ!R63</f>
        <v>0</v>
      </c>
      <c r="T40" s="323" t="s">
        <v>582</v>
      </c>
      <c r="U40" s="401">
        <f>ΥΠΟΛΟΓΙΣΜΟΙ!T63</f>
        <v>0</v>
      </c>
    </row>
    <row r="41" spans="2:21">
      <c r="B41" s="351" t="s">
        <v>184</v>
      </c>
      <c r="E41" s="394">
        <v>0.97</v>
      </c>
      <c r="H41" s="351" t="s">
        <v>194</v>
      </c>
      <c r="M41" s="352" t="s">
        <v>579</v>
      </c>
      <c r="N41" s="353"/>
      <c r="O41" s="354"/>
      <c r="P41" s="351" t="s">
        <v>580</v>
      </c>
      <c r="R41" s="402" t="s">
        <v>584</v>
      </c>
      <c r="S41" s="403" t="str">
        <f>ΥΠΟΛΟΓΙΣΜΟΙ!R64</f>
        <v>Β</v>
      </c>
      <c r="T41" s="322" t="s">
        <v>586</v>
      </c>
      <c r="U41" s="404" t="str">
        <f>ΥΠΟΛΟΓΙΣΜΟΙ!T64</f>
        <v>ΟΧΙ</v>
      </c>
    </row>
    <row r="42" spans="2:21">
      <c r="E42" s="394"/>
      <c r="H42" s="351" t="s">
        <v>195</v>
      </c>
      <c r="M42" s="358" t="s">
        <v>397</v>
      </c>
      <c r="N42" s="359"/>
      <c r="O42" s="360">
        <v>12.8</v>
      </c>
      <c r="P42" s="351">
        <v>10.1</v>
      </c>
      <c r="R42" s="846" t="s">
        <v>585</v>
      </c>
      <c r="S42" s="847"/>
      <c r="T42" s="847"/>
      <c r="U42" s="405">
        <f>IF(U41="ΟΧΙ",INDEX(O42:O45,MATCH(S41,M42:M45,0)),INDEX(P42:P45,MATCH(S41,M42:M45,0)))</f>
        <v>10.1</v>
      </c>
    </row>
    <row r="43" spans="2:21">
      <c r="B43" s="351" t="s">
        <v>185</v>
      </c>
      <c r="E43" s="394"/>
      <c r="H43" s="351" t="s">
        <v>196</v>
      </c>
      <c r="M43" s="358" t="s">
        <v>396</v>
      </c>
      <c r="N43" s="359"/>
      <c r="O43" s="360">
        <v>10.1</v>
      </c>
      <c r="P43" s="351">
        <v>6.5</v>
      </c>
      <c r="R43" s="826" t="s">
        <v>354</v>
      </c>
      <c r="S43" s="827"/>
      <c r="T43" s="827"/>
      <c r="U43" s="406" t="e">
        <f>(S39*S40+U39*U40)*(4.18/3600)*1*(45-U42)/5</f>
        <v>#N/A</v>
      </c>
    </row>
    <row r="44" spans="2:21">
      <c r="B44" s="351" t="s">
        <v>186</v>
      </c>
      <c r="E44" s="394">
        <v>1</v>
      </c>
      <c r="M44" s="358" t="s">
        <v>587</v>
      </c>
      <c r="N44" s="359"/>
      <c r="O44" s="360">
        <v>6.5</v>
      </c>
      <c r="P44" s="351">
        <v>4.2</v>
      </c>
    </row>
    <row r="45" spans="2:21" ht="15" thickBot="1">
      <c r="B45" s="351" t="s">
        <v>187</v>
      </c>
      <c r="E45" s="394">
        <v>1.03</v>
      </c>
      <c r="M45" s="364" t="s">
        <v>399</v>
      </c>
      <c r="N45" s="365"/>
      <c r="O45" s="366">
        <v>4.2</v>
      </c>
      <c r="P45" s="351">
        <v>4.2</v>
      </c>
    </row>
    <row r="48" spans="2:21">
      <c r="H48" s="839" t="s">
        <v>297</v>
      </c>
      <c r="I48" s="840"/>
      <c r="J48" s="351" t="s">
        <v>309</v>
      </c>
      <c r="K48" s="407" t="s">
        <v>310</v>
      </c>
      <c r="L48" s="839" t="s">
        <v>576</v>
      </c>
      <c r="M48" s="838"/>
    </row>
    <row r="49" spans="2:14" ht="57" customHeight="1">
      <c r="B49" s="408" t="s">
        <v>295</v>
      </c>
      <c r="C49" s="378"/>
      <c r="D49" s="378"/>
      <c r="E49" s="378"/>
      <c r="F49" s="378"/>
      <c r="G49" s="378"/>
      <c r="H49" s="409" t="s">
        <v>298</v>
      </c>
      <c r="I49" s="410" t="s">
        <v>299</v>
      </c>
      <c r="J49" s="378" t="s">
        <v>308</v>
      </c>
      <c r="K49" s="411" t="s">
        <v>311</v>
      </c>
      <c r="L49" s="378" t="s">
        <v>577</v>
      </c>
      <c r="M49" s="378" t="s">
        <v>578</v>
      </c>
      <c r="N49" s="378"/>
    </row>
    <row r="50" spans="2:14">
      <c r="B50" s="351" t="s">
        <v>252</v>
      </c>
      <c r="H50" s="412">
        <v>27.38</v>
      </c>
      <c r="I50" s="413" t="s">
        <v>246</v>
      </c>
      <c r="J50" s="394">
        <v>0.75</v>
      </c>
      <c r="K50" s="414">
        <v>200</v>
      </c>
      <c r="L50" s="415">
        <v>50</v>
      </c>
      <c r="M50" s="416">
        <v>0</v>
      </c>
    </row>
    <row r="51" spans="2:14">
      <c r="B51" s="351" t="s">
        <v>253</v>
      </c>
      <c r="H51" s="412" t="s">
        <v>300</v>
      </c>
      <c r="I51" s="413" t="s">
        <v>246</v>
      </c>
      <c r="J51" s="394">
        <v>3</v>
      </c>
      <c r="K51" s="414">
        <v>300</v>
      </c>
      <c r="L51" s="417" t="s">
        <v>300</v>
      </c>
      <c r="M51" s="416">
        <v>0</v>
      </c>
    </row>
    <row r="52" spans="2:14">
      <c r="B52" s="351" t="s">
        <v>254</v>
      </c>
      <c r="H52" s="412" t="s">
        <v>300</v>
      </c>
      <c r="I52" s="413" t="s">
        <v>246</v>
      </c>
      <c r="J52" s="394">
        <v>3</v>
      </c>
      <c r="K52" s="414">
        <v>300</v>
      </c>
      <c r="L52" s="417" t="s">
        <v>300</v>
      </c>
      <c r="M52" s="416">
        <v>0</v>
      </c>
    </row>
    <row r="53" spans="2:14">
      <c r="B53" s="351" t="s">
        <v>255</v>
      </c>
      <c r="H53" s="412" t="s">
        <v>300</v>
      </c>
      <c r="I53" s="413" t="s">
        <v>246</v>
      </c>
      <c r="J53" s="394">
        <v>3</v>
      </c>
      <c r="K53" s="414">
        <v>300</v>
      </c>
      <c r="L53" s="417" t="s">
        <v>300</v>
      </c>
      <c r="M53" s="416">
        <v>0</v>
      </c>
    </row>
    <row r="54" spans="2:14">
      <c r="B54" s="351" t="s">
        <v>256</v>
      </c>
      <c r="H54" s="412">
        <v>21.9</v>
      </c>
      <c r="I54" s="413" t="s">
        <v>246</v>
      </c>
      <c r="J54" s="394">
        <v>3</v>
      </c>
      <c r="K54" s="414">
        <v>300</v>
      </c>
      <c r="L54" s="415">
        <v>60</v>
      </c>
      <c r="M54" s="416">
        <v>0</v>
      </c>
    </row>
    <row r="55" spans="2:14">
      <c r="B55" s="351" t="s">
        <v>257</v>
      </c>
      <c r="H55" s="412">
        <v>12.74</v>
      </c>
      <c r="I55" s="413" t="s">
        <v>246</v>
      </c>
      <c r="J55" s="394">
        <v>3</v>
      </c>
      <c r="K55" s="414">
        <v>300</v>
      </c>
      <c r="L55" s="415">
        <v>60</v>
      </c>
      <c r="M55" s="416">
        <v>0</v>
      </c>
    </row>
    <row r="56" spans="2:14">
      <c r="B56" s="351" t="s">
        <v>258</v>
      </c>
      <c r="H56" s="412">
        <v>14.56</v>
      </c>
      <c r="I56" s="413" t="s">
        <v>246</v>
      </c>
      <c r="J56" s="394">
        <v>3</v>
      </c>
      <c r="K56" s="414">
        <v>300</v>
      </c>
      <c r="L56" s="415">
        <v>60</v>
      </c>
      <c r="M56" s="416">
        <v>0</v>
      </c>
    </row>
    <row r="57" spans="2:14">
      <c r="B57" s="351" t="s">
        <v>259</v>
      </c>
      <c r="H57" s="412">
        <v>18.25</v>
      </c>
      <c r="I57" s="413" t="s">
        <v>246</v>
      </c>
      <c r="J57" s="394">
        <v>1.5</v>
      </c>
      <c r="K57" s="414">
        <v>300</v>
      </c>
      <c r="L57" s="415">
        <v>50</v>
      </c>
      <c r="M57" s="416">
        <v>0</v>
      </c>
    </row>
    <row r="58" spans="2:14">
      <c r="B58" s="351" t="s">
        <v>260</v>
      </c>
      <c r="H58" s="412" t="s">
        <v>246</v>
      </c>
      <c r="I58" s="413" t="s">
        <v>246</v>
      </c>
      <c r="J58" s="394">
        <v>1.2</v>
      </c>
      <c r="K58" s="414">
        <v>250</v>
      </c>
      <c r="L58" s="415" t="s">
        <v>246</v>
      </c>
      <c r="M58" s="416">
        <v>0</v>
      </c>
    </row>
    <row r="59" spans="2:14">
      <c r="B59" s="351" t="s">
        <v>261</v>
      </c>
      <c r="H59" s="412" t="s">
        <v>246</v>
      </c>
      <c r="I59" s="413" t="s">
        <v>246</v>
      </c>
      <c r="J59" s="394">
        <v>6.25</v>
      </c>
      <c r="K59" s="414">
        <v>100</v>
      </c>
      <c r="L59" s="415" t="s">
        <v>246</v>
      </c>
      <c r="M59" s="416">
        <v>0</v>
      </c>
    </row>
    <row r="60" spans="2:14">
      <c r="B60" s="351" t="s">
        <v>262</v>
      </c>
      <c r="H60" s="412" t="s">
        <v>246</v>
      </c>
      <c r="I60" s="413">
        <v>2.04</v>
      </c>
      <c r="J60" s="394">
        <v>17.5</v>
      </c>
      <c r="K60" s="414">
        <v>200</v>
      </c>
      <c r="L60" s="415">
        <v>8</v>
      </c>
      <c r="M60" s="416">
        <v>5.6</v>
      </c>
    </row>
    <row r="61" spans="2:14">
      <c r="B61" s="351" t="s">
        <v>263</v>
      </c>
      <c r="H61" s="412" t="s">
        <v>246</v>
      </c>
      <c r="I61" s="413">
        <v>0.57999999999999996</v>
      </c>
      <c r="J61" s="394">
        <v>20</v>
      </c>
      <c r="K61" s="414">
        <v>250</v>
      </c>
      <c r="L61" s="415">
        <v>2</v>
      </c>
      <c r="M61" s="416">
        <v>1.6</v>
      </c>
    </row>
    <row r="62" spans="2:14">
      <c r="B62" s="351" t="s">
        <v>264</v>
      </c>
      <c r="H62" s="412" t="s">
        <v>246</v>
      </c>
      <c r="I62" s="413">
        <v>0.62</v>
      </c>
      <c r="J62" s="394">
        <v>45</v>
      </c>
      <c r="K62" s="414">
        <v>100</v>
      </c>
      <c r="L62" s="415">
        <v>3</v>
      </c>
      <c r="M62" s="416">
        <v>3</v>
      </c>
    </row>
    <row r="63" spans="2:14">
      <c r="B63" s="351" t="s">
        <v>265</v>
      </c>
      <c r="H63" s="412" t="s">
        <v>246</v>
      </c>
      <c r="I63" s="413">
        <v>0</v>
      </c>
      <c r="J63" s="394">
        <v>25</v>
      </c>
      <c r="K63" s="414">
        <v>100</v>
      </c>
      <c r="L63" s="415">
        <v>0</v>
      </c>
      <c r="M63" s="416">
        <v>0</v>
      </c>
    </row>
    <row r="64" spans="2:14">
      <c r="B64" s="351" t="s">
        <v>266</v>
      </c>
      <c r="H64" s="412" t="s">
        <v>246</v>
      </c>
      <c r="I64" s="413">
        <f>-I631</f>
        <v>0</v>
      </c>
      <c r="J64" s="394">
        <v>30</v>
      </c>
      <c r="K64" s="414">
        <v>100</v>
      </c>
      <c r="L64" s="415">
        <v>0</v>
      </c>
      <c r="M64" s="416">
        <v>0</v>
      </c>
    </row>
    <row r="65" spans="2:13">
      <c r="B65" s="351" t="s">
        <v>267</v>
      </c>
      <c r="H65" s="412" t="s">
        <v>246</v>
      </c>
      <c r="I65" s="413">
        <v>0</v>
      </c>
      <c r="J65" s="394">
        <v>10</v>
      </c>
      <c r="K65" s="414">
        <v>200</v>
      </c>
      <c r="L65" s="415">
        <v>0</v>
      </c>
      <c r="M65" s="416">
        <v>0</v>
      </c>
    </row>
    <row r="66" spans="2:13">
      <c r="B66" s="351" t="s">
        <v>268</v>
      </c>
      <c r="H66" s="412" t="s">
        <v>246</v>
      </c>
      <c r="I66" s="413">
        <v>0</v>
      </c>
      <c r="J66" s="394">
        <v>27.5</v>
      </c>
      <c r="K66" s="414">
        <v>500</v>
      </c>
      <c r="L66" s="415">
        <v>0</v>
      </c>
      <c r="M66" s="416">
        <v>0</v>
      </c>
    </row>
    <row r="67" spans="2:13">
      <c r="B67" s="351" t="s">
        <v>269</v>
      </c>
      <c r="H67" s="412" t="s">
        <v>246</v>
      </c>
      <c r="I67" s="413">
        <v>0</v>
      </c>
      <c r="J67" s="394">
        <v>6</v>
      </c>
      <c r="K67" s="414">
        <v>500</v>
      </c>
      <c r="L67" s="415">
        <v>0</v>
      </c>
      <c r="M67" s="416">
        <v>0</v>
      </c>
    </row>
    <row r="68" spans="2:13">
      <c r="B68" s="351" t="s">
        <v>270</v>
      </c>
      <c r="H68" s="412" t="s">
        <v>246</v>
      </c>
      <c r="I68" s="413">
        <v>0</v>
      </c>
      <c r="J68" s="394">
        <v>22.5</v>
      </c>
      <c r="K68" s="414">
        <v>300</v>
      </c>
      <c r="L68" s="415">
        <v>0</v>
      </c>
      <c r="M68" s="416">
        <v>0</v>
      </c>
    </row>
    <row r="69" spans="2:13">
      <c r="B69" s="351" t="s">
        <v>271</v>
      </c>
      <c r="H69" s="412" t="s">
        <v>246</v>
      </c>
      <c r="I69" s="413">
        <v>3.29</v>
      </c>
      <c r="J69" s="394">
        <v>33.75</v>
      </c>
      <c r="K69" s="414">
        <v>300</v>
      </c>
      <c r="L69" s="415">
        <v>20</v>
      </c>
      <c r="M69" s="416">
        <v>9</v>
      </c>
    </row>
    <row r="70" spans="2:13">
      <c r="B70" s="351" t="s">
        <v>272</v>
      </c>
      <c r="H70" s="412" t="s">
        <v>246</v>
      </c>
      <c r="I70" s="413">
        <v>0</v>
      </c>
      <c r="J70" s="394">
        <v>2.6</v>
      </c>
      <c r="K70" s="414">
        <v>200</v>
      </c>
      <c r="L70" s="415">
        <v>0</v>
      </c>
      <c r="M70" s="416">
        <v>0</v>
      </c>
    </row>
    <row r="71" spans="2:13">
      <c r="B71" s="351" t="s">
        <v>273</v>
      </c>
      <c r="H71" s="412" t="s">
        <v>246</v>
      </c>
      <c r="I71" s="413">
        <v>0</v>
      </c>
      <c r="J71" s="394">
        <v>6</v>
      </c>
      <c r="K71" s="414">
        <v>200</v>
      </c>
      <c r="L71" s="415">
        <v>0</v>
      </c>
      <c r="M71" s="416">
        <v>0</v>
      </c>
    </row>
    <row r="72" spans="2:13">
      <c r="B72" s="351" t="s">
        <v>274</v>
      </c>
      <c r="H72" s="412" t="s">
        <v>246</v>
      </c>
      <c r="I72" s="413">
        <v>0</v>
      </c>
      <c r="J72" s="394">
        <v>11</v>
      </c>
      <c r="K72" s="414">
        <v>300</v>
      </c>
      <c r="L72" s="415">
        <v>0</v>
      </c>
      <c r="M72" s="416">
        <v>0</v>
      </c>
    </row>
    <row r="73" spans="2:13">
      <c r="B73" s="351" t="s">
        <v>275</v>
      </c>
      <c r="H73" s="412" t="s">
        <v>246</v>
      </c>
      <c r="I73" s="413">
        <v>0</v>
      </c>
      <c r="J73" s="394">
        <v>11</v>
      </c>
      <c r="K73" s="414">
        <v>300</v>
      </c>
      <c r="L73" s="415">
        <v>0</v>
      </c>
      <c r="M73" s="416">
        <v>0</v>
      </c>
    </row>
    <row r="74" spans="2:13">
      <c r="B74" s="351" t="s">
        <v>276</v>
      </c>
      <c r="H74" s="412" t="s">
        <v>246</v>
      </c>
      <c r="I74" s="413">
        <v>0</v>
      </c>
      <c r="J74" s="394">
        <v>11</v>
      </c>
      <c r="K74" s="414">
        <v>500</v>
      </c>
      <c r="L74" s="415">
        <v>0</v>
      </c>
      <c r="M74" s="416">
        <v>0</v>
      </c>
    </row>
    <row r="75" spans="2:13">
      <c r="B75" s="351" t="s">
        <v>277</v>
      </c>
      <c r="H75" s="412" t="s">
        <v>246</v>
      </c>
      <c r="I75" s="413">
        <v>0</v>
      </c>
      <c r="J75" s="394">
        <v>12.1</v>
      </c>
      <c r="K75" s="414">
        <v>500</v>
      </c>
      <c r="L75" s="415">
        <v>0</v>
      </c>
      <c r="M75" s="416">
        <v>0</v>
      </c>
    </row>
    <row r="76" spans="2:13">
      <c r="B76" s="351" t="s">
        <v>278</v>
      </c>
      <c r="H76" s="412" t="s">
        <v>300</v>
      </c>
      <c r="I76" s="413" t="s">
        <v>246</v>
      </c>
      <c r="J76" s="394">
        <v>10.5</v>
      </c>
      <c r="K76" s="414">
        <v>300</v>
      </c>
      <c r="L76" s="412" t="s">
        <v>300</v>
      </c>
      <c r="M76" s="412" t="s">
        <v>300</v>
      </c>
    </row>
    <row r="77" spans="2:13">
      <c r="B77" s="351" t="s">
        <v>279</v>
      </c>
      <c r="H77" s="412" t="s">
        <v>300</v>
      </c>
      <c r="I77" s="413" t="s">
        <v>246</v>
      </c>
      <c r="J77" s="394">
        <v>5.5</v>
      </c>
      <c r="K77" s="414">
        <v>100</v>
      </c>
      <c r="L77" s="412" t="s">
        <v>300</v>
      </c>
      <c r="M77" s="412" t="s">
        <v>300</v>
      </c>
    </row>
    <row r="78" spans="2:13">
      <c r="B78" s="351" t="s">
        <v>280</v>
      </c>
      <c r="H78" s="412" t="s">
        <v>300</v>
      </c>
      <c r="I78" s="413" t="s">
        <v>246</v>
      </c>
      <c r="J78" s="394">
        <v>30</v>
      </c>
      <c r="K78" s="414">
        <v>1000</v>
      </c>
      <c r="L78" s="412" t="s">
        <v>300</v>
      </c>
      <c r="M78" s="412" t="s">
        <v>300</v>
      </c>
    </row>
    <row r="79" spans="2:13">
      <c r="B79" s="351" t="s">
        <v>281</v>
      </c>
      <c r="H79" s="412" t="s">
        <v>300</v>
      </c>
      <c r="I79" s="413" t="s">
        <v>246</v>
      </c>
      <c r="J79" s="394">
        <v>5</v>
      </c>
      <c r="K79" s="414">
        <v>500</v>
      </c>
      <c r="L79" s="412" t="s">
        <v>300</v>
      </c>
      <c r="M79" s="412" t="s">
        <v>300</v>
      </c>
    </row>
    <row r="80" spans="2:13">
      <c r="B80" s="351" t="s">
        <v>282</v>
      </c>
      <c r="H80" s="412" t="s">
        <v>300</v>
      </c>
      <c r="I80" s="413" t="s">
        <v>246</v>
      </c>
      <c r="J80" s="394">
        <v>24.75</v>
      </c>
      <c r="K80" s="414">
        <v>300</v>
      </c>
      <c r="L80" s="412" t="s">
        <v>300</v>
      </c>
      <c r="M80" s="412" t="s">
        <v>300</v>
      </c>
    </row>
    <row r="81" spans="2:13">
      <c r="B81" s="351" t="s">
        <v>283</v>
      </c>
      <c r="H81" s="412" t="s">
        <v>246</v>
      </c>
      <c r="I81" s="413">
        <v>0.2</v>
      </c>
      <c r="J81" s="394">
        <v>7.5</v>
      </c>
      <c r="K81" s="414">
        <v>500</v>
      </c>
      <c r="L81" s="415">
        <v>5</v>
      </c>
      <c r="M81" s="416">
        <v>0.75</v>
      </c>
    </row>
    <row r="82" spans="2:13">
      <c r="B82" s="351" t="s">
        <v>284</v>
      </c>
      <c r="H82" s="412">
        <v>18.25</v>
      </c>
      <c r="I82" s="413" t="s">
        <v>246</v>
      </c>
      <c r="J82" s="394">
        <v>3.75</v>
      </c>
      <c r="K82" s="414">
        <v>300</v>
      </c>
      <c r="L82" s="415">
        <v>50</v>
      </c>
      <c r="M82" s="416">
        <v>0</v>
      </c>
    </row>
    <row r="83" spans="2:13">
      <c r="B83" s="351" t="s">
        <v>285</v>
      </c>
      <c r="H83" s="412">
        <v>18.25</v>
      </c>
      <c r="I83" s="413" t="s">
        <v>246</v>
      </c>
      <c r="J83" s="394">
        <v>3.75</v>
      </c>
      <c r="K83" s="414">
        <v>300</v>
      </c>
      <c r="L83" s="415">
        <v>50</v>
      </c>
      <c r="M83" s="416">
        <v>0</v>
      </c>
    </row>
    <row r="84" spans="2:13">
      <c r="B84" s="351" t="s">
        <v>286</v>
      </c>
      <c r="H84" s="412" t="s">
        <v>246</v>
      </c>
      <c r="I84" s="413">
        <v>0.3</v>
      </c>
      <c r="J84" s="394">
        <v>11.25</v>
      </c>
      <c r="K84" s="414">
        <v>300</v>
      </c>
      <c r="L84" s="415">
        <v>5</v>
      </c>
      <c r="M84" s="416">
        <v>1.25</v>
      </c>
    </row>
    <row r="85" spans="2:13">
      <c r="B85" s="351" t="s">
        <v>287</v>
      </c>
      <c r="H85" s="412" t="s">
        <v>246</v>
      </c>
      <c r="I85" s="413">
        <v>2.19</v>
      </c>
      <c r="J85" s="394">
        <v>4.4000000000000004</v>
      </c>
      <c r="K85" s="414">
        <v>300</v>
      </c>
      <c r="L85" s="415">
        <v>30</v>
      </c>
      <c r="M85" s="416">
        <v>6</v>
      </c>
    </row>
    <row r="86" spans="2:13">
      <c r="B86" s="351" t="s">
        <v>288</v>
      </c>
      <c r="H86" s="412" t="s">
        <v>246</v>
      </c>
      <c r="I86" s="413">
        <v>0</v>
      </c>
      <c r="J86" s="394">
        <v>3</v>
      </c>
      <c r="K86" s="414">
        <v>500</v>
      </c>
      <c r="L86" s="415">
        <v>0</v>
      </c>
      <c r="M86" s="416">
        <v>0</v>
      </c>
    </row>
    <row r="87" spans="2:13">
      <c r="B87" s="351" t="s">
        <v>289</v>
      </c>
      <c r="H87" s="412" t="s">
        <v>246</v>
      </c>
      <c r="I87" s="413">
        <v>0</v>
      </c>
      <c r="J87" s="394">
        <v>6.6</v>
      </c>
      <c r="K87" s="414">
        <v>300</v>
      </c>
      <c r="L87" s="415">
        <v>0</v>
      </c>
      <c r="M87" s="416">
        <v>0</v>
      </c>
    </row>
    <row r="88" spans="2:13">
      <c r="B88" s="351" t="s">
        <v>290</v>
      </c>
      <c r="H88" s="412" t="s">
        <v>246</v>
      </c>
      <c r="I88" s="413">
        <v>0</v>
      </c>
      <c r="J88" s="394">
        <v>3.08</v>
      </c>
      <c r="K88" s="414">
        <v>500</v>
      </c>
      <c r="L88" s="415">
        <v>0</v>
      </c>
      <c r="M88" s="416">
        <v>0</v>
      </c>
    </row>
    <row r="89" spans="2:13">
      <c r="B89" s="351" t="s">
        <v>291</v>
      </c>
      <c r="H89" s="412" t="s">
        <v>246</v>
      </c>
      <c r="I89" s="413">
        <v>4.68</v>
      </c>
      <c r="J89" s="394">
        <v>6.75</v>
      </c>
      <c r="K89" s="414">
        <v>400</v>
      </c>
      <c r="L89" s="415">
        <v>20</v>
      </c>
      <c r="M89" s="416">
        <v>15</v>
      </c>
    </row>
    <row r="90" spans="2:13">
      <c r="B90" s="351" t="s">
        <v>292</v>
      </c>
      <c r="H90" s="412" t="s">
        <v>246</v>
      </c>
      <c r="I90" s="413">
        <v>0.7</v>
      </c>
      <c r="J90" s="394">
        <v>4.5</v>
      </c>
      <c r="K90" s="414">
        <v>400</v>
      </c>
      <c r="L90" s="415">
        <v>3</v>
      </c>
      <c r="M90" s="416">
        <v>2.25</v>
      </c>
    </row>
    <row r="91" spans="2:13">
      <c r="B91" s="351" t="s">
        <v>293</v>
      </c>
      <c r="H91" s="412" t="s">
        <v>246</v>
      </c>
      <c r="I91" s="413">
        <v>0</v>
      </c>
      <c r="J91" s="394">
        <v>3</v>
      </c>
      <c r="K91" s="414">
        <v>500</v>
      </c>
      <c r="L91" s="415">
        <v>0</v>
      </c>
      <c r="M91" s="416">
        <v>0</v>
      </c>
    </row>
    <row r="92" spans="2:13">
      <c r="B92" s="351" t="s">
        <v>294</v>
      </c>
      <c r="H92" s="412" t="s">
        <v>246</v>
      </c>
      <c r="I92" s="413">
        <v>0</v>
      </c>
      <c r="J92" s="394">
        <v>6.6</v>
      </c>
      <c r="K92" s="414">
        <v>500</v>
      </c>
      <c r="L92" s="415">
        <v>0</v>
      </c>
      <c r="M92" s="416">
        <v>0</v>
      </c>
    </row>
    <row r="93" spans="2:13">
      <c r="H93" s="394"/>
      <c r="I93" s="394"/>
      <c r="J93" s="394"/>
      <c r="K93" s="394"/>
      <c r="L93" s="394"/>
      <c r="M93" s="394"/>
    </row>
    <row r="94" spans="2:13">
      <c r="H94" s="394"/>
      <c r="I94" s="394"/>
      <c r="J94" s="394"/>
      <c r="K94" s="394"/>
      <c r="L94" s="394"/>
      <c r="M94" s="394"/>
    </row>
    <row r="98" spans="3:24">
      <c r="G98" s="839" t="s">
        <v>476</v>
      </c>
      <c r="H98" s="842"/>
      <c r="I98" s="840"/>
      <c r="J98" s="839" t="s">
        <v>477</v>
      </c>
      <c r="K98" s="842"/>
      <c r="L98" s="842"/>
    </row>
    <row r="99" spans="3:24" ht="72" customHeight="1">
      <c r="G99" s="418" t="s">
        <v>483</v>
      </c>
      <c r="H99" s="418" t="s">
        <v>484</v>
      </c>
      <c r="I99" s="418" t="s">
        <v>485</v>
      </c>
      <c r="J99" s="418" t="s">
        <v>483</v>
      </c>
      <c r="K99" s="418" t="s">
        <v>484</v>
      </c>
      <c r="L99" s="418" t="s">
        <v>485</v>
      </c>
    </row>
    <row r="100" spans="3:24">
      <c r="C100" s="351" t="s">
        <v>479</v>
      </c>
      <c r="G100" s="838" t="s">
        <v>472</v>
      </c>
      <c r="H100" s="838"/>
      <c r="I100" s="838"/>
      <c r="J100" s="838"/>
      <c r="K100" s="838"/>
      <c r="L100" s="838"/>
      <c r="X100" s="419" t="s">
        <v>475</v>
      </c>
    </row>
    <row r="101" spans="3:24">
      <c r="C101" s="351" t="s">
        <v>451</v>
      </c>
      <c r="G101" s="375">
        <v>3.65</v>
      </c>
      <c r="H101" s="416">
        <v>2.75</v>
      </c>
      <c r="I101" s="416">
        <v>4.3</v>
      </c>
      <c r="J101" s="375">
        <v>1</v>
      </c>
      <c r="K101" s="416">
        <v>0.9</v>
      </c>
      <c r="L101" s="376">
        <v>1.05</v>
      </c>
      <c r="N101" s="420" t="s">
        <v>502</v>
      </c>
      <c r="O101" s="421" t="str">
        <f>ΥΠΟΛΟΓΙΣΜΟΙ!I14</f>
        <v>τυπικες τιμες προ ΚΘΚ, Umax απο ΚΘΚ ή ΚΕΝΑΚ</v>
      </c>
      <c r="P101" s="373"/>
      <c r="Q101" s="373"/>
      <c r="R101" s="373"/>
      <c r="S101" s="373"/>
      <c r="T101" s="374"/>
      <c r="X101" s="351" t="s">
        <v>472</v>
      </c>
    </row>
    <row r="102" spans="3:24">
      <c r="C102" s="351" t="s">
        <v>452</v>
      </c>
      <c r="G102" s="375">
        <v>3.4</v>
      </c>
      <c r="H102" s="416">
        <v>2.6</v>
      </c>
      <c r="I102" s="416" t="s">
        <v>246</v>
      </c>
      <c r="J102" s="375">
        <v>1</v>
      </c>
      <c r="K102" s="416">
        <v>0.9</v>
      </c>
      <c r="L102" s="376" t="s">
        <v>246</v>
      </c>
      <c r="N102" s="407" t="s">
        <v>503</v>
      </c>
      <c r="O102" s="412" t="str">
        <f>ΥΠΟΛΟΓΙΣΜΟΙ!I15</f>
        <v>κατακορυφο δομικο στοιχειο:</v>
      </c>
      <c r="P102" s="362"/>
      <c r="Q102" s="362"/>
      <c r="R102" s="362"/>
      <c r="S102" s="362"/>
      <c r="T102" s="381"/>
      <c r="X102" s="351" t="s">
        <v>457</v>
      </c>
    </row>
    <row r="103" spans="3:24">
      <c r="C103" s="351" t="s">
        <v>456</v>
      </c>
      <c r="G103" s="375">
        <v>2.4500000000000002</v>
      </c>
      <c r="H103" s="416">
        <v>2</v>
      </c>
      <c r="I103" s="416">
        <v>2.9</v>
      </c>
      <c r="J103" s="375">
        <v>0.9</v>
      </c>
      <c r="K103" s="416">
        <v>0.85</v>
      </c>
      <c r="L103" s="376">
        <v>0.95</v>
      </c>
      <c r="M103" s="422" t="s">
        <v>506</v>
      </c>
      <c r="N103" s="407" t="s">
        <v>504</v>
      </c>
      <c r="O103" s="412" t="str">
        <f>ΥΠΟΛΟΓΙΣΜΟΙ!I16</f>
        <v>θερμομονωση:</v>
      </c>
      <c r="P103" s="362"/>
      <c r="Q103" s="362"/>
      <c r="R103" s="362"/>
      <c r="S103" s="362"/>
      <c r="T103" s="381"/>
      <c r="X103" s="351" t="s">
        <v>458</v>
      </c>
    </row>
    <row r="104" spans="3:24">
      <c r="C104" s="351" t="s">
        <v>453</v>
      </c>
      <c r="G104" s="375">
        <v>2.9</v>
      </c>
      <c r="H104" s="416">
        <v>2.2999999999999998</v>
      </c>
      <c r="I104" s="416">
        <v>3.25</v>
      </c>
      <c r="J104" s="375">
        <v>0.9</v>
      </c>
      <c r="K104" s="416">
        <v>0.85</v>
      </c>
      <c r="L104" s="376">
        <v>0.95</v>
      </c>
      <c r="N104" s="423" t="s">
        <v>505</v>
      </c>
      <c r="O104" s="392" t="str">
        <f>ΥΠΟΛΟΓΙΣΜΟΙ!K16</f>
        <v>σε επαφη με:</v>
      </c>
      <c r="P104" s="378"/>
      <c r="Q104" s="378"/>
      <c r="R104" s="378"/>
      <c r="S104" s="378"/>
      <c r="T104" s="379"/>
      <c r="X104" s="351" t="s">
        <v>304</v>
      </c>
    </row>
    <row r="105" spans="3:24">
      <c r="C105" s="351" t="s">
        <v>454</v>
      </c>
      <c r="G105" s="375">
        <v>3.5</v>
      </c>
      <c r="H105" s="416">
        <v>2.0499999999999998</v>
      </c>
      <c r="I105" s="416">
        <v>4</v>
      </c>
      <c r="J105" s="375">
        <v>1</v>
      </c>
      <c r="K105" s="416">
        <v>0.9</v>
      </c>
      <c r="L105" s="376">
        <v>1.05</v>
      </c>
      <c r="X105" s="351" t="s">
        <v>459</v>
      </c>
    </row>
    <row r="106" spans="3:24">
      <c r="C106" s="351" t="s">
        <v>455</v>
      </c>
      <c r="G106" s="375">
        <v>2.0499999999999998</v>
      </c>
      <c r="H106" s="416">
        <v>1.75</v>
      </c>
      <c r="I106" s="416">
        <v>2.25</v>
      </c>
      <c r="J106" s="375">
        <v>0.8</v>
      </c>
      <c r="K106" s="416">
        <v>0.75</v>
      </c>
      <c r="L106" s="376">
        <v>0.85</v>
      </c>
      <c r="P106" s="424">
        <f>IF(O101=X109,INDEX(P131:R133,MATCH(O102,O131:O133,0),MATCH(O104,P130:R130,0)),0)</f>
        <v>0</v>
      </c>
      <c r="X106" s="351" t="s">
        <v>468</v>
      </c>
    </row>
    <row r="107" spans="3:24">
      <c r="C107" s="373" t="s">
        <v>479</v>
      </c>
      <c r="D107" s="373"/>
      <c r="E107" s="373"/>
      <c r="F107" s="373"/>
      <c r="G107" s="841" t="s">
        <v>457</v>
      </c>
      <c r="H107" s="841"/>
      <c r="I107" s="841"/>
      <c r="J107" s="841"/>
      <c r="K107" s="841"/>
      <c r="L107" s="841"/>
      <c r="P107" s="425">
        <f>IF(AND(O101=X101,O103=X112),INDEX(G101:I106,MATCH(O102,C101:C106,0),MATCH(O104,G99:I99,0)),0)</f>
        <v>0</v>
      </c>
      <c r="X107" s="351" t="s">
        <v>473</v>
      </c>
    </row>
    <row r="108" spans="3:24">
      <c r="C108" s="351" t="s">
        <v>451</v>
      </c>
      <c r="G108" s="375">
        <v>2.2999999999999998</v>
      </c>
      <c r="H108" s="416">
        <v>1.9</v>
      </c>
      <c r="I108" s="416">
        <v>2.5499999999999998</v>
      </c>
      <c r="J108" s="375">
        <v>0.85</v>
      </c>
      <c r="K108" s="416">
        <v>0.8</v>
      </c>
      <c r="L108" s="376">
        <v>0.9</v>
      </c>
      <c r="P108" s="425">
        <f>IF(AND(O101=X101,O103=X113),INDEX(J101:L106,MATCH(O102,C101:C106,0),MATCH(O104,J99:L99,0)),0)</f>
        <v>0</v>
      </c>
      <c r="X108" s="351" t="s">
        <v>474</v>
      </c>
    </row>
    <row r="109" spans="3:24">
      <c r="C109" s="351" t="s">
        <v>452</v>
      </c>
      <c r="G109" s="375">
        <v>2.2000000000000002</v>
      </c>
      <c r="H109" s="416">
        <v>1.85</v>
      </c>
      <c r="I109" s="416" t="s">
        <v>246</v>
      </c>
      <c r="J109" s="375">
        <v>0.85</v>
      </c>
      <c r="K109" s="416">
        <v>0.8</v>
      </c>
      <c r="L109" s="376" t="s">
        <v>246</v>
      </c>
      <c r="P109" s="425">
        <f>IF(AND(O101=X102,O103=X112),INDEX(G108:I113,MATCH(O102,C108:C113,0),MATCH(O104,G99:I99,0)),0)</f>
        <v>0</v>
      </c>
      <c r="X109" s="351" t="s">
        <v>507</v>
      </c>
    </row>
    <row r="110" spans="3:24">
      <c r="C110" s="351" t="s">
        <v>456</v>
      </c>
      <c r="G110" s="375">
        <v>1.9</v>
      </c>
      <c r="H110" s="416">
        <v>1.6</v>
      </c>
      <c r="I110" s="416">
        <v>2.0499999999999998</v>
      </c>
      <c r="J110" s="375">
        <v>0.8</v>
      </c>
      <c r="K110" s="416">
        <v>0.75</v>
      </c>
      <c r="L110" s="376">
        <v>0.85</v>
      </c>
      <c r="P110" s="425">
        <f>IF(AND(O101=X102,O103=X113),INDEX(J108:L113,MATCH(O102,C108:C113,0),MATCH(O104,J99:L99,0)),0)</f>
        <v>0</v>
      </c>
    </row>
    <row r="111" spans="3:24">
      <c r="C111" s="351" t="s">
        <v>453</v>
      </c>
      <c r="G111" s="375">
        <v>2.1</v>
      </c>
      <c r="H111" s="416">
        <v>1.75</v>
      </c>
      <c r="I111" s="416">
        <v>2.25</v>
      </c>
      <c r="J111" s="375">
        <v>0.8</v>
      </c>
      <c r="K111" s="416">
        <v>0.75</v>
      </c>
      <c r="L111" s="376">
        <v>0.85</v>
      </c>
      <c r="P111" s="425">
        <f>IF(AND(O101=X103,O103=X112),INDEX(G115:I120,MATCH(O102,C115:C120,0),MATCH(O104,G99:I99,0)),0)</f>
        <v>0</v>
      </c>
      <c r="X111" s="419" t="s">
        <v>478</v>
      </c>
    </row>
    <row r="112" spans="3:24">
      <c r="C112" s="351" t="s">
        <v>454</v>
      </c>
      <c r="G112" s="375">
        <v>2.25</v>
      </c>
      <c r="H112" s="416">
        <v>1.85</v>
      </c>
      <c r="I112" s="416">
        <v>2.4500000000000002</v>
      </c>
      <c r="J112" s="375">
        <v>0.85</v>
      </c>
      <c r="K112" s="416">
        <v>0.8</v>
      </c>
      <c r="L112" s="376">
        <v>0.85</v>
      </c>
      <c r="P112" s="425">
        <f>IF(AND(O101=X103,O103=X113),INDEX(J115:L120,MATCH(O102,C115:C120,0),MATCH(O104,J99:L99,0)),0)</f>
        <v>0</v>
      </c>
      <c r="X112" s="351" t="s">
        <v>482</v>
      </c>
    </row>
    <row r="113" spans="3:24">
      <c r="C113" s="351" t="s">
        <v>455</v>
      </c>
      <c r="G113" s="375">
        <v>1.55</v>
      </c>
      <c r="H113" s="416">
        <v>1.35</v>
      </c>
      <c r="I113" s="416">
        <v>1.65</v>
      </c>
      <c r="J113" s="375">
        <v>0.7</v>
      </c>
      <c r="K113" s="416">
        <v>0.7</v>
      </c>
      <c r="L113" s="376">
        <v>0.75</v>
      </c>
      <c r="P113" s="425">
        <f>IF(AND(O101=X104,O103=X112),INDEX(G122:I127,MATCH(O102,C122:C127,0),MATCH(O104,G99:I99,0)),0)</f>
        <v>0</v>
      </c>
      <c r="X113" s="351" t="s">
        <v>477</v>
      </c>
    </row>
    <row r="114" spans="3:24">
      <c r="C114" s="373" t="s">
        <v>479</v>
      </c>
      <c r="D114" s="373"/>
      <c r="E114" s="373"/>
      <c r="F114" s="373"/>
      <c r="G114" s="841" t="s">
        <v>458</v>
      </c>
      <c r="H114" s="841"/>
      <c r="I114" s="841"/>
      <c r="J114" s="841"/>
      <c r="K114" s="841"/>
      <c r="L114" s="841"/>
      <c r="P114" s="425">
        <f>IF(AND(O101=X104,O103=X113),INDEX(J122:L127,MATCH(O102,C122:C127,0),MATCH(O104,J99:L99,0)),0)</f>
        <v>0</v>
      </c>
    </row>
    <row r="115" spans="3:24">
      <c r="C115" s="351" t="s">
        <v>451</v>
      </c>
      <c r="G115" s="375">
        <v>3.25</v>
      </c>
      <c r="H115" s="416">
        <v>2.5</v>
      </c>
      <c r="I115" s="416">
        <v>3.75</v>
      </c>
      <c r="J115" s="375">
        <v>0.95</v>
      </c>
      <c r="K115" s="416">
        <v>0.9</v>
      </c>
      <c r="L115" s="376">
        <v>1</v>
      </c>
      <c r="P115" s="425">
        <f>IF(AND(O101=X105,O103=X112),INDEX(G129:I136,MATCH(O102,C129:C136,0),MATCH(O104,G99:I99,0)),0)</f>
        <v>0</v>
      </c>
      <c r="X115" s="419" t="s">
        <v>481</v>
      </c>
    </row>
    <row r="116" spans="3:24">
      <c r="C116" s="351" t="s">
        <v>452</v>
      </c>
      <c r="G116" s="375">
        <v>3.05</v>
      </c>
      <c r="H116" s="416">
        <v>2.4</v>
      </c>
      <c r="I116" s="416" t="s">
        <v>246</v>
      </c>
      <c r="J116" s="375">
        <v>0.95</v>
      </c>
      <c r="K116" s="416">
        <v>0.85</v>
      </c>
      <c r="L116" s="376" t="s">
        <v>246</v>
      </c>
      <c r="P116" s="425">
        <f>IF(AND(O101=X105,O103=X113),INDEX(J129:L136,MATCH(O102,C129:C136,0),MATCH(O104,J99:L99,0)),0)</f>
        <v>0</v>
      </c>
      <c r="X116" s="351" t="s">
        <v>483</v>
      </c>
    </row>
    <row r="117" spans="3:24">
      <c r="C117" s="351" t="s">
        <v>456</v>
      </c>
      <c r="G117" s="375">
        <v>2.5</v>
      </c>
      <c r="H117" s="416">
        <v>2</v>
      </c>
      <c r="I117" s="416">
        <v>2.75</v>
      </c>
      <c r="J117" s="375">
        <v>0.85</v>
      </c>
      <c r="K117" s="416">
        <v>0.8</v>
      </c>
      <c r="L117" s="376">
        <v>0.9</v>
      </c>
      <c r="P117" s="425">
        <f>IF(AND(O101=X106,O103=X112),INDEX(G138:I140,MATCH(O102,C138:C140,0),MATCH(O104,G99:I99,0)),0)</f>
        <v>0</v>
      </c>
      <c r="X117" s="351" t="s">
        <v>484</v>
      </c>
    </row>
    <row r="118" spans="3:24">
      <c r="C118" s="351" t="s">
        <v>453</v>
      </c>
      <c r="G118" s="375">
        <v>2.8</v>
      </c>
      <c r="H118" s="416">
        <v>2.25</v>
      </c>
      <c r="I118" s="416">
        <v>3.2</v>
      </c>
      <c r="J118" s="375">
        <v>0.9</v>
      </c>
      <c r="K118" s="416">
        <v>0.85</v>
      </c>
      <c r="L118" s="376">
        <v>0.95</v>
      </c>
      <c r="P118" s="425">
        <f>IF(AND(O101=X106,O103=X113),INDEX(J138:L140,MATCH(O102,C138:C140,0),MATCH(O104,J99:L99,0)),0)</f>
        <v>0</v>
      </c>
      <c r="X118" s="351" t="s">
        <v>485</v>
      </c>
    </row>
    <row r="119" spans="3:24">
      <c r="C119" s="351" t="s">
        <v>454</v>
      </c>
      <c r="G119" s="375">
        <v>3.1</v>
      </c>
      <c r="H119" s="416">
        <v>2.4</v>
      </c>
      <c r="I119" s="416">
        <v>3.55</v>
      </c>
      <c r="J119" s="375">
        <v>0.95</v>
      </c>
      <c r="K119" s="416">
        <v>0.85</v>
      </c>
      <c r="L119" s="376">
        <v>1</v>
      </c>
      <c r="P119" s="425">
        <f>IF(O101=X107,INDEX(K144:M147,MATCH(O102,C144:C147,0),MATCH(O103,K143:M143,0)),0)</f>
        <v>0</v>
      </c>
    </row>
    <row r="120" spans="3:24">
      <c r="C120" s="351" t="s">
        <v>455</v>
      </c>
      <c r="G120" s="375">
        <v>1.9</v>
      </c>
      <c r="H120" s="416">
        <v>1.65</v>
      </c>
      <c r="I120" s="416">
        <v>2.0499999999999998</v>
      </c>
      <c r="J120" s="375">
        <v>0.8</v>
      </c>
      <c r="K120" s="416">
        <v>0.75</v>
      </c>
      <c r="L120" s="376">
        <v>0.85</v>
      </c>
      <c r="P120" s="426">
        <f>IF(O101=X108,INDEX(K152:N156,MATCH(O102,C152:C156,0),MATCH(O103,K151:N151,0)),0)</f>
        <v>0</v>
      </c>
    </row>
    <row r="121" spans="3:24">
      <c r="C121" s="373" t="s">
        <v>479</v>
      </c>
      <c r="D121" s="373"/>
      <c r="E121" s="373"/>
      <c r="F121" s="373"/>
      <c r="G121" s="841" t="s">
        <v>304</v>
      </c>
      <c r="H121" s="841"/>
      <c r="I121" s="841"/>
      <c r="J121" s="841"/>
      <c r="K121" s="841"/>
      <c r="L121" s="841"/>
      <c r="P121" s="426">
        <f>IFERROR(SUM(P106:P120),"-")</f>
        <v>0</v>
      </c>
    </row>
    <row r="122" spans="3:24">
      <c r="C122" s="351" t="s">
        <v>451</v>
      </c>
      <c r="G122" s="375">
        <v>4.25</v>
      </c>
      <c r="H122" s="416">
        <v>3.1</v>
      </c>
      <c r="I122" s="416">
        <v>5</v>
      </c>
      <c r="J122" s="375">
        <v>1.05</v>
      </c>
      <c r="K122" s="416">
        <v>0.95</v>
      </c>
      <c r="L122" s="376">
        <v>1.1000000000000001</v>
      </c>
      <c r="P122" s="394"/>
    </row>
    <row r="123" spans="3:24">
      <c r="C123" s="351" t="s">
        <v>452</v>
      </c>
      <c r="G123" s="375">
        <v>3.85</v>
      </c>
      <c r="H123" s="416">
        <v>2.85</v>
      </c>
      <c r="I123" s="416" t="s">
        <v>246</v>
      </c>
      <c r="J123" s="375">
        <v>1</v>
      </c>
      <c r="K123" s="416">
        <v>0.95</v>
      </c>
      <c r="L123" s="376" t="s">
        <v>246</v>
      </c>
      <c r="P123" s="394"/>
    </row>
    <row r="124" spans="3:24">
      <c r="C124" s="351" t="s">
        <v>456</v>
      </c>
      <c r="G124" s="375">
        <v>2.85</v>
      </c>
      <c r="H124" s="416">
        <v>2.2999999999999998</v>
      </c>
      <c r="I124" s="416">
        <v>3.25</v>
      </c>
      <c r="J124" s="375">
        <v>0.9</v>
      </c>
      <c r="K124" s="416">
        <v>0.85</v>
      </c>
      <c r="L124" s="376">
        <v>0.95</v>
      </c>
      <c r="P124" s="394"/>
    </row>
    <row r="125" spans="3:24">
      <c r="C125" s="351" t="s">
        <v>453</v>
      </c>
      <c r="G125" s="375" t="s">
        <v>246</v>
      </c>
      <c r="H125" s="416" t="s">
        <v>246</v>
      </c>
      <c r="I125" s="416" t="s">
        <v>246</v>
      </c>
      <c r="J125" s="375" t="s">
        <v>246</v>
      </c>
      <c r="K125" s="416" t="s">
        <v>246</v>
      </c>
      <c r="L125" s="376" t="s">
        <v>246</v>
      </c>
      <c r="P125" s="394"/>
    </row>
    <row r="126" spans="3:24">
      <c r="C126" s="351" t="s">
        <v>454</v>
      </c>
      <c r="G126" s="375">
        <v>4.0999999999999996</v>
      </c>
      <c r="H126" s="416">
        <v>3</v>
      </c>
      <c r="I126" s="416">
        <v>4.95</v>
      </c>
      <c r="J126" s="375">
        <v>1</v>
      </c>
      <c r="K126" s="416">
        <v>0.95</v>
      </c>
      <c r="L126" s="376">
        <v>1.05</v>
      </c>
      <c r="P126" s="394"/>
    </row>
    <row r="127" spans="3:24">
      <c r="C127" s="351" t="s">
        <v>455</v>
      </c>
      <c r="G127" s="375">
        <v>2.2999999999999998</v>
      </c>
      <c r="H127" s="416">
        <v>1.95</v>
      </c>
      <c r="I127" s="416">
        <v>2.6</v>
      </c>
      <c r="J127" s="375">
        <v>0.85</v>
      </c>
      <c r="K127" s="416">
        <v>0.8</v>
      </c>
      <c r="L127" s="376">
        <v>0.9</v>
      </c>
      <c r="P127" s="394"/>
    </row>
    <row r="128" spans="3:24">
      <c r="C128" s="373" t="s">
        <v>480</v>
      </c>
      <c r="D128" s="373"/>
      <c r="E128" s="373"/>
      <c r="F128" s="373"/>
      <c r="G128" s="841" t="s">
        <v>459</v>
      </c>
      <c r="H128" s="841"/>
      <c r="I128" s="841"/>
      <c r="J128" s="841"/>
      <c r="K128" s="841"/>
      <c r="L128" s="841"/>
      <c r="P128" s="394"/>
    </row>
    <row r="129" spans="3:20">
      <c r="C129" s="351" t="s">
        <v>460</v>
      </c>
      <c r="G129" s="375">
        <v>3.05</v>
      </c>
      <c r="H129" s="416" t="s">
        <v>246</v>
      </c>
      <c r="I129" s="416" t="s">
        <v>246</v>
      </c>
      <c r="J129" s="375">
        <v>0.95</v>
      </c>
      <c r="K129" s="416" t="s">
        <v>246</v>
      </c>
      <c r="L129" s="376" t="s">
        <v>246</v>
      </c>
      <c r="P129" s="394"/>
    </row>
    <row r="130" spans="3:20">
      <c r="C130" s="351" t="s">
        <v>461</v>
      </c>
      <c r="G130" s="375" t="s">
        <v>246</v>
      </c>
      <c r="H130" s="416" t="s">
        <v>246</v>
      </c>
      <c r="I130" s="416" t="s">
        <v>246</v>
      </c>
      <c r="J130" s="375">
        <v>0.95</v>
      </c>
      <c r="K130" s="416" t="s">
        <v>246</v>
      </c>
      <c r="L130" s="376" t="s">
        <v>246</v>
      </c>
      <c r="O130" s="351" t="s">
        <v>508</v>
      </c>
      <c r="P130" s="351" t="s">
        <v>483</v>
      </c>
      <c r="Q130" s="351" t="s">
        <v>484</v>
      </c>
      <c r="R130" s="351" t="s">
        <v>485</v>
      </c>
    </row>
    <row r="131" spans="3:20">
      <c r="C131" s="351" t="s">
        <v>462</v>
      </c>
      <c r="G131" s="375" t="s">
        <v>246</v>
      </c>
      <c r="H131" s="416">
        <v>3.7</v>
      </c>
      <c r="I131" s="416" t="s">
        <v>246</v>
      </c>
      <c r="J131" s="375">
        <v>1</v>
      </c>
      <c r="K131" s="416" t="s">
        <v>246</v>
      </c>
      <c r="L131" s="376" t="s">
        <v>246</v>
      </c>
      <c r="O131" s="351" t="s">
        <v>509</v>
      </c>
      <c r="P131" s="416">
        <v>6</v>
      </c>
      <c r="Q131" s="416">
        <v>4</v>
      </c>
      <c r="R131" s="427" t="s">
        <v>246</v>
      </c>
    </row>
    <row r="132" spans="3:20">
      <c r="C132" s="351" t="s">
        <v>463</v>
      </c>
      <c r="G132" s="375">
        <v>1.2</v>
      </c>
      <c r="H132" s="416" t="s">
        <v>246</v>
      </c>
      <c r="I132" s="416" t="s">
        <v>246</v>
      </c>
      <c r="J132" s="375">
        <v>0.7</v>
      </c>
      <c r="K132" s="416" t="s">
        <v>246</v>
      </c>
      <c r="L132" s="376" t="s">
        <v>246</v>
      </c>
      <c r="O132" s="351" t="s">
        <v>510</v>
      </c>
      <c r="P132" s="416">
        <v>3.5</v>
      </c>
      <c r="Q132" s="416">
        <v>2.7</v>
      </c>
      <c r="R132" s="427" t="s">
        <v>246</v>
      </c>
    </row>
    <row r="133" spans="3:20">
      <c r="C133" s="351" t="s">
        <v>464</v>
      </c>
      <c r="G133" s="375">
        <v>3.7</v>
      </c>
      <c r="H133" s="416" t="s">
        <v>246</v>
      </c>
      <c r="I133" s="416" t="s">
        <v>246</v>
      </c>
      <c r="J133" s="375">
        <v>1</v>
      </c>
      <c r="K133" s="416" t="s">
        <v>246</v>
      </c>
      <c r="L133" s="376" t="s">
        <v>246</v>
      </c>
      <c r="O133" s="351" t="s">
        <v>511</v>
      </c>
      <c r="P133" s="416">
        <v>3.5</v>
      </c>
      <c r="Q133" s="416">
        <v>2.7</v>
      </c>
      <c r="R133" s="427" t="s">
        <v>246</v>
      </c>
    </row>
    <row r="134" spans="3:20">
      <c r="C134" s="351" t="s">
        <v>465</v>
      </c>
      <c r="G134" s="375" t="s">
        <v>246</v>
      </c>
      <c r="H134" s="416">
        <v>2.9</v>
      </c>
      <c r="I134" s="416" t="s">
        <v>246</v>
      </c>
      <c r="J134" s="375" t="s">
        <v>246</v>
      </c>
      <c r="K134" s="416">
        <v>0.9</v>
      </c>
      <c r="L134" s="376" t="s">
        <v>246</v>
      </c>
    </row>
    <row r="135" spans="3:20">
      <c r="C135" s="351" t="s">
        <v>466</v>
      </c>
      <c r="G135" s="375">
        <v>4.7</v>
      </c>
      <c r="H135" s="416" t="s">
        <v>246</v>
      </c>
      <c r="I135" s="416" t="s">
        <v>246</v>
      </c>
      <c r="J135" s="375">
        <v>1.05</v>
      </c>
      <c r="K135" s="416" t="s">
        <v>246</v>
      </c>
      <c r="L135" s="376" t="s">
        <v>246</v>
      </c>
    </row>
    <row r="136" spans="3:20">
      <c r="C136" s="351" t="s">
        <v>467</v>
      </c>
      <c r="G136" s="375">
        <v>4.25</v>
      </c>
      <c r="H136" s="416" t="s">
        <v>246</v>
      </c>
      <c r="I136" s="416" t="s">
        <v>246</v>
      </c>
      <c r="J136" s="375">
        <v>1</v>
      </c>
      <c r="K136" s="416" t="s">
        <v>246</v>
      </c>
      <c r="L136" s="376" t="s">
        <v>246</v>
      </c>
    </row>
    <row r="137" spans="3:20">
      <c r="C137" s="373" t="s">
        <v>480</v>
      </c>
      <c r="D137" s="373"/>
      <c r="E137" s="373"/>
      <c r="F137" s="373"/>
      <c r="G137" s="841" t="s">
        <v>468</v>
      </c>
      <c r="H137" s="841"/>
      <c r="I137" s="841"/>
      <c r="J137" s="841"/>
      <c r="K137" s="841"/>
      <c r="L137" s="841"/>
    </row>
    <row r="138" spans="3:20">
      <c r="C138" s="351" t="s">
        <v>469</v>
      </c>
      <c r="G138" s="375">
        <v>2.75</v>
      </c>
      <c r="H138" s="416" t="s">
        <v>246</v>
      </c>
      <c r="I138" s="416" t="s">
        <v>246</v>
      </c>
      <c r="J138" s="375">
        <v>0.9</v>
      </c>
      <c r="K138" s="416" t="s">
        <v>246</v>
      </c>
      <c r="L138" s="376" t="s">
        <v>246</v>
      </c>
    </row>
    <row r="139" spans="3:20">
      <c r="C139" s="351" t="s">
        <v>470</v>
      </c>
      <c r="G139" s="375" t="s">
        <v>246</v>
      </c>
      <c r="H139" s="416" t="s">
        <v>246</v>
      </c>
      <c r="I139" s="416">
        <v>3.1</v>
      </c>
      <c r="J139" s="375" t="s">
        <v>246</v>
      </c>
      <c r="K139" s="416" t="s">
        <v>246</v>
      </c>
      <c r="L139" s="376">
        <v>0.95</v>
      </c>
    </row>
    <row r="140" spans="3:20">
      <c r="C140" s="351" t="s">
        <v>471</v>
      </c>
      <c r="G140" s="375" t="s">
        <v>246</v>
      </c>
      <c r="H140" s="416">
        <v>2</v>
      </c>
      <c r="I140" s="416" t="s">
        <v>246</v>
      </c>
      <c r="J140" s="375" t="s">
        <v>246</v>
      </c>
      <c r="K140" s="416">
        <v>0.8</v>
      </c>
      <c r="L140" s="376" t="s">
        <v>246</v>
      </c>
    </row>
    <row r="141" spans="3:20">
      <c r="Q141" s="351" t="s">
        <v>566</v>
      </c>
    </row>
    <row r="142" spans="3:20">
      <c r="K142" s="838" t="s">
        <v>491</v>
      </c>
      <c r="L142" s="838"/>
      <c r="M142" s="838"/>
      <c r="Q142" s="351" t="s">
        <v>563</v>
      </c>
    </row>
    <row r="143" spans="3:20">
      <c r="C143" s="351" t="s">
        <v>490</v>
      </c>
      <c r="K143" s="428" t="s">
        <v>496</v>
      </c>
      <c r="L143" s="428" t="s">
        <v>497</v>
      </c>
      <c r="M143" s="428" t="s">
        <v>498</v>
      </c>
      <c r="N143" s="384"/>
      <c r="Q143" s="351" t="s">
        <v>564</v>
      </c>
    </row>
    <row r="144" spans="3:20">
      <c r="C144" s="351" t="s">
        <v>486</v>
      </c>
      <c r="K144" s="429">
        <v>0.5</v>
      </c>
      <c r="L144" s="429">
        <v>0.5</v>
      </c>
      <c r="M144" s="429">
        <v>0.5</v>
      </c>
      <c r="N144" s="384"/>
      <c r="R144" s="351" t="s">
        <v>565</v>
      </c>
      <c r="S144" s="351" t="s">
        <v>563</v>
      </c>
      <c r="T144" s="351" t="s">
        <v>564</v>
      </c>
    </row>
    <row r="145" spans="3:20">
      <c r="C145" s="351" t="s">
        <v>487</v>
      </c>
      <c r="K145" s="429">
        <v>0.7</v>
      </c>
      <c r="L145" s="429">
        <v>0.7</v>
      </c>
      <c r="M145" s="429">
        <v>0.7</v>
      </c>
      <c r="N145" s="384"/>
      <c r="Q145" s="845" t="s">
        <v>558</v>
      </c>
      <c r="R145" s="351" t="s">
        <v>562</v>
      </c>
      <c r="S145" s="384" t="s">
        <v>567</v>
      </c>
      <c r="T145" s="384" t="s">
        <v>571</v>
      </c>
    </row>
    <row r="146" spans="3:20">
      <c r="C146" s="351" t="s">
        <v>488</v>
      </c>
      <c r="K146" s="429">
        <v>3</v>
      </c>
      <c r="L146" s="429">
        <v>1.9</v>
      </c>
      <c r="M146" s="429">
        <v>0.7</v>
      </c>
      <c r="N146" s="384"/>
      <c r="Q146" s="845"/>
      <c r="R146" s="351" t="s">
        <v>561</v>
      </c>
      <c r="S146" s="384" t="s">
        <v>568</v>
      </c>
      <c r="T146" s="384" t="s">
        <v>570</v>
      </c>
    </row>
    <row r="147" spans="3:20">
      <c r="C147" s="351" t="s">
        <v>489</v>
      </c>
      <c r="K147" s="429">
        <v>3</v>
      </c>
      <c r="L147" s="429">
        <v>1.9</v>
      </c>
      <c r="M147" s="429">
        <v>0.7</v>
      </c>
      <c r="N147" s="384"/>
      <c r="Q147" s="845" t="s">
        <v>559</v>
      </c>
      <c r="R147" s="351" t="s">
        <v>562</v>
      </c>
      <c r="S147" s="384" t="s">
        <v>569</v>
      </c>
      <c r="T147" s="384" t="s">
        <v>568</v>
      </c>
    </row>
    <row r="148" spans="3:20">
      <c r="K148" s="384"/>
      <c r="L148" s="384"/>
      <c r="M148" s="384"/>
      <c r="N148" s="384"/>
      <c r="Q148" s="845"/>
      <c r="R148" s="351" t="s">
        <v>561</v>
      </c>
      <c r="S148" s="384" t="s">
        <v>570</v>
      </c>
      <c r="T148" s="384" t="s">
        <v>572</v>
      </c>
    </row>
    <row r="149" spans="3:20">
      <c r="K149" s="384"/>
      <c r="L149" s="384"/>
      <c r="M149" s="384"/>
      <c r="N149" s="384"/>
      <c r="Q149" s="430" t="s">
        <v>560</v>
      </c>
      <c r="S149" s="384" t="s">
        <v>573</v>
      </c>
      <c r="T149" s="384"/>
    </row>
    <row r="150" spans="3:20">
      <c r="K150" s="384"/>
      <c r="L150" s="384"/>
      <c r="M150" s="384"/>
      <c r="N150" s="384"/>
      <c r="Q150" s="430"/>
    </row>
    <row r="151" spans="3:20">
      <c r="C151" s="351" t="s">
        <v>492</v>
      </c>
      <c r="K151" s="428" t="s">
        <v>496</v>
      </c>
      <c r="L151" s="428" t="s">
        <v>497</v>
      </c>
      <c r="M151" s="428" t="s">
        <v>498</v>
      </c>
      <c r="N151" s="428" t="s">
        <v>499</v>
      </c>
      <c r="Q151" s="431">
        <f>ΥΠΟΛΟΓΙΣΜΟΙ!F9</f>
        <v>0</v>
      </c>
    </row>
    <row r="152" spans="3:20">
      <c r="C152" s="351" t="s">
        <v>493</v>
      </c>
      <c r="K152" s="416">
        <v>0.5</v>
      </c>
      <c r="L152" s="416">
        <v>0.45</v>
      </c>
      <c r="M152" s="416">
        <v>0.4</v>
      </c>
      <c r="N152" s="416">
        <v>0.35</v>
      </c>
      <c r="Q152" s="394" t="str">
        <f>ΥΠΟΛΟΓΙΣΜΟΙ!H14</f>
        <v>αρ.οροφ.</v>
      </c>
      <c r="S152" s="351" t="str">
        <f>IFERROR(IF(Q151&lt;1981,INDEX(S145:T146,MATCH(Q153,R145:R146,0),MATCH(Q152,S144:T144,0)),IF(Q151&gt;1999,S149,INDEX(S147:T148,MATCH(Q153,R147:R148,0),MATCH(Q152,S144:T144,0)))),"-")</f>
        <v>-</v>
      </c>
    </row>
    <row r="153" spans="3:20">
      <c r="C153" s="351" t="s">
        <v>487</v>
      </c>
      <c r="K153" s="416">
        <v>0.6</v>
      </c>
      <c r="L153" s="416">
        <v>0.5</v>
      </c>
      <c r="M153" s="416">
        <v>0.45</v>
      </c>
      <c r="N153" s="416">
        <v>0.4</v>
      </c>
      <c r="Q153" s="394" t="str">
        <f>ΥΠΟΛΟΓΙΣΜΟΙ!H15</f>
        <v>τυπος:</v>
      </c>
    </row>
    <row r="154" spans="3:20">
      <c r="C154" s="351" t="s">
        <v>494</v>
      </c>
      <c r="K154" s="416">
        <v>0.5</v>
      </c>
      <c r="L154" s="416">
        <v>0.45</v>
      </c>
      <c r="M154" s="416">
        <v>0.4</v>
      </c>
      <c r="N154" s="416">
        <v>0.35</v>
      </c>
    </row>
    <row r="155" spans="3:20">
      <c r="C155" s="351" t="s">
        <v>488</v>
      </c>
      <c r="K155" s="416">
        <v>1.2</v>
      </c>
      <c r="L155" s="416">
        <v>0.9</v>
      </c>
      <c r="M155" s="416">
        <v>0.75</v>
      </c>
      <c r="N155" s="416">
        <v>0.7</v>
      </c>
    </row>
    <row r="156" spans="3:20">
      <c r="C156" s="351" t="s">
        <v>489</v>
      </c>
      <c r="K156" s="416">
        <v>1.5</v>
      </c>
      <c r="L156" s="416">
        <v>1</v>
      </c>
      <c r="M156" s="416">
        <v>0.8</v>
      </c>
      <c r="N156" s="416">
        <v>0.7</v>
      </c>
    </row>
    <row r="157" spans="3:20">
      <c r="K157" s="384"/>
      <c r="L157" s="384"/>
      <c r="M157" s="384"/>
      <c r="N157" s="384"/>
    </row>
    <row r="160" spans="3:20">
      <c r="C160" s="419" t="s">
        <v>519</v>
      </c>
      <c r="E160" s="384" t="s">
        <v>520</v>
      </c>
      <c r="G160" s="372" t="s">
        <v>540</v>
      </c>
      <c r="H160" s="374"/>
      <c r="I160" s="421" t="str">
        <f>ΥΠΟΛΟΓΙΣΜΟΙ!L35</f>
        <v>τυπος πλαισιου:</v>
      </c>
      <c r="J160" s="373"/>
      <c r="K160" s="374"/>
    </row>
    <row r="161" spans="3:17">
      <c r="C161" s="351" t="s">
        <v>515</v>
      </c>
      <c r="E161" s="416">
        <v>7</v>
      </c>
      <c r="G161" s="380" t="s">
        <v>541</v>
      </c>
      <c r="H161" s="381"/>
      <c r="I161" s="391">
        <f>ΥΠΟΛΟΓΙΣΜΟΙ!J36</f>
        <v>20</v>
      </c>
      <c r="J161" s="432">
        <f>IF(I161="Αναλ.",N175,I161)</f>
        <v>20</v>
      </c>
      <c r="K161" s="381"/>
    </row>
    <row r="162" spans="3:17">
      <c r="C162" s="351" t="s">
        <v>516</v>
      </c>
      <c r="E162" s="416">
        <v>3.5</v>
      </c>
      <c r="G162" s="377" t="s">
        <v>542</v>
      </c>
      <c r="H162" s="379"/>
      <c r="I162" s="392" t="str">
        <f>ΥΠΟΛΟΓΙΣΜΟΙ!H35</f>
        <v>τυπος υαλοπινακα:</v>
      </c>
      <c r="J162" s="378"/>
      <c r="K162" s="379"/>
    </row>
    <row r="163" spans="3:17">
      <c r="C163" s="351" t="s">
        <v>517</v>
      </c>
      <c r="E163" s="416">
        <v>2.8</v>
      </c>
    </row>
    <row r="164" spans="3:17">
      <c r="C164" s="351" t="s">
        <v>510</v>
      </c>
      <c r="E164" s="416">
        <v>2.8</v>
      </c>
      <c r="I164" s="372" t="s">
        <v>547</v>
      </c>
      <c r="J164" s="433" t="e">
        <f>INDEX(E161:E165,MATCH(I160,C161:C165,0))</f>
        <v>#N/A</v>
      </c>
      <c r="K164" s="373" t="s">
        <v>554</v>
      </c>
      <c r="L164" s="434">
        <f>IF(I161&gt;60,0,450-75*(I161/10))</f>
        <v>300</v>
      </c>
      <c r="M164" s="351" t="s">
        <v>555</v>
      </c>
    </row>
    <row r="165" spans="3:17">
      <c r="C165" s="351" t="s">
        <v>518</v>
      </c>
      <c r="E165" s="416">
        <v>2.2000000000000002</v>
      </c>
      <c r="I165" s="380" t="s">
        <v>548</v>
      </c>
      <c r="J165" s="435" t="e">
        <f>INDEX(F179:F186,MATCH(I162,C179:C186,0))</f>
        <v>#N/A</v>
      </c>
      <c r="K165" s="436" t="s">
        <v>546</v>
      </c>
      <c r="L165" s="376" t="str">
        <f>IFERROR(IF(I161="Αναλ.",N178,(I161*J164+(100-I161)*J165+J166*L164)/100)," ")</f>
        <v xml:space="preserve"> </v>
      </c>
    </row>
    <row r="166" spans="3:17">
      <c r="I166" s="377" t="s">
        <v>549</v>
      </c>
      <c r="J166" s="437" t="e">
        <f>IF(I162=C179,0,IF(OR(I162=C184,I162=C185),INDEX(F170:F174,MATCH(I160,C170:C174,0)),INDEX(E170:E174,MATCH(I160,C170:C174,0))))</f>
        <v>#N/A</v>
      </c>
      <c r="K166" s="378"/>
      <c r="L166" s="379"/>
    </row>
    <row r="168" spans="3:17">
      <c r="I168" s="438" t="s">
        <v>553</v>
      </c>
      <c r="J168" s="416" t="e">
        <f>INDEX(I179:I186,MATCH(I162,C179:C186,0))</f>
        <v>#N/A</v>
      </c>
      <c r="K168" s="438" t="s">
        <v>552</v>
      </c>
      <c r="L168" s="416" t="str">
        <f>IFERROR(J168*(100-J161)/100," ")</f>
        <v xml:space="preserve"> </v>
      </c>
    </row>
    <row r="169" spans="3:17" ht="43.2" customHeight="1" thickBot="1">
      <c r="C169" s="419" t="s">
        <v>519</v>
      </c>
      <c r="E169" s="439" t="s">
        <v>521</v>
      </c>
      <c r="F169" s="439" t="s">
        <v>522</v>
      </c>
    </row>
    <row r="170" spans="3:17" ht="15" thickTop="1">
      <c r="C170" s="351" t="s">
        <v>515</v>
      </c>
      <c r="E170" s="416">
        <v>0.02</v>
      </c>
      <c r="F170" s="416">
        <v>0.05</v>
      </c>
      <c r="I170" s="848" t="s">
        <v>714</v>
      </c>
      <c r="J170" s="849"/>
      <c r="K170" s="832" t="s">
        <v>711</v>
      </c>
      <c r="L170" s="832"/>
      <c r="M170" s="440">
        <f>ΥΠΟΛΟΓΙΣΜΟΙ!S34</f>
        <v>0</v>
      </c>
      <c r="N170" s="441">
        <f>ΥΠΟΛΟΓΙΣΜΟΙ!T34</f>
        <v>0</v>
      </c>
    </row>
    <row r="171" spans="3:17" ht="15" thickBot="1">
      <c r="C171" s="351" t="s">
        <v>516</v>
      </c>
      <c r="E171" s="416">
        <v>0.08</v>
      </c>
      <c r="F171" s="416">
        <v>0.11</v>
      </c>
      <c r="I171" s="850" t="s">
        <v>712</v>
      </c>
      <c r="J171" s="851"/>
      <c r="K171" s="442">
        <f>ΥΠΟΛΟΓΙΣΜΟΙ!Q35</f>
        <v>0</v>
      </c>
      <c r="L171" s="343" t="s">
        <v>713</v>
      </c>
      <c r="M171" s="442">
        <f>ΥΠΟΛΟΓΙΣΜΟΙ!S35</f>
        <v>0</v>
      </c>
      <c r="N171" s="443">
        <f>ΥΠΟΛΟΓΙΣΜΟΙ!T35</f>
        <v>0</v>
      </c>
    </row>
    <row r="172" spans="3:17" ht="15" thickTop="1">
      <c r="C172" s="351" t="s">
        <v>517</v>
      </c>
      <c r="E172" s="416">
        <v>0.08</v>
      </c>
      <c r="F172" s="416">
        <v>0.11</v>
      </c>
    </row>
    <row r="173" spans="3:17">
      <c r="C173" s="351" t="s">
        <v>510</v>
      </c>
      <c r="E173" s="416">
        <v>0.06</v>
      </c>
      <c r="F173" s="416">
        <v>0.08</v>
      </c>
      <c r="K173" s="351" t="s">
        <v>715</v>
      </c>
      <c r="N173" s="351">
        <f>M170*N170</f>
        <v>0</v>
      </c>
    </row>
    <row r="174" spans="3:17">
      <c r="C174" s="351" t="s">
        <v>518</v>
      </c>
      <c r="E174" s="416">
        <v>0.06</v>
      </c>
      <c r="F174" s="416">
        <v>0.08</v>
      </c>
      <c r="K174" s="351" t="s">
        <v>716</v>
      </c>
      <c r="N174" s="351">
        <f>K171*M171*N171</f>
        <v>0</v>
      </c>
      <c r="O174" s="351" t="s">
        <v>718</v>
      </c>
      <c r="Q174" s="351">
        <f>N173-N174</f>
        <v>0</v>
      </c>
    </row>
    <row r="175" spans="3:17">
      <c r="E175" s="416"/>
      <c r="F175" s="416"/>
      <c r="K175" s="351" t="s">
        <v>719</v>
      </c>
      <c r="N175" s="394" t="e">
        <f>100*Q174/N173</f>
        <v>#DIV/0!</v>
      </c>
    </row>
    <row r="176" spans="3:17">
      <c r="K176" s="351" t="s">
        <v>717</v>
      </c>
      <c r="N176" s="351">
        <f>K171*(2*M171+2*N171)</f>
        <v>0</v>
      </c>
    </row>
    <row r="178" spans="3:15">
      <c r="C178" s="419" t="s">
        <v>523</v>
      </c>
      <c r="F178" s="393" t="s">
        <v>531</v>
      </c>
      <c r="G178" s="419"/>
      <c r="H178" s="393" t="s">
        <v>532</v>
      </c>
      <c r="I178" s="393" t="s">
        <v>533</v>
      </c>
      <c r="J178" s="393" t="s">
        <v>534</v>
      </c>
      <c r="M178" s="444" t="s">
        <v>546</v>
      </c>
      <c r="N178" s="445" t="e">
        <f>(Q174*J164+N174*J165+N176*J166)/N173</f>
        <v>#N/A</v>
      </c>
    </row>
    <row r="179" spans="3:15">
      <c r="C179" s="351" t="s">
        <v>539</v>
      </c>
      <c r="F179" s="416">
        <v>5.7</v>
      </c>
      <c r="H179" s="416">
        <v>0.85</v>
      </c>
      <c r="I179" s="416">
        <v>0.77</v>
      </c>
      <c r="J179" s="416">
        <v>0.78</v>
      </c>
    </row>
    <row r="180" spans="3:15">
      <c r="C180" s="446" t="s">
        <v>525</v>
      </c>
      <c r="F180" s="416">
        <v>3.3</v>
      </c>
      <c r="H180" s="416">
        <v>0.75</v>
      </c>
      <c r="I180" s="416">
        <v>0.68</v>
      </c>
      <c r="J180" s="416">
        <v>0.66</v>
      </c>
    </row>
    <row r="181" spans="3:15">
      <c r="C181" s="351" t="s">
        <v>524</v>
      </c>
      <c r="F181" s="416">
        <v>3.3</v>
      </c>
      <c r="H181" s="416">
        <v>0.5</v>
      </c>
      <c r="I181" s="416">
        <v>0.45</v>
      </c>
      <c r="J181" s="416"/>
    </row>
    <row r="182" spans="3:15">
      <c r="C182" s="351" t="s">
        <v>526</v>
      </c>
      <c r="F182" s="416">
        <v>2.8</v>
      </c>
      <c r="H182" s="416">
        <v>0.75</v>
      </c>
      <c r="I182" s="416">
        <v>0.68</v>
      </c>
      <c r="J182" s="416">
        <v>0.66</v>
      </c>
    </row>
    <row r="183" spans="3:15">
      <c r="C183" s="351" t="s">
        <v>527</v>
      </c>
      <c r="F183" s="416">
        <v>2.8</v>
      </c>
      <c r="H183" s="416">
        <v>0.5</v>
      </c>
      <c r="I183" s="416">
        <v>0.45</v>
      </c>
      <c r="J183" s="416"/>
    </row>
    <row r="184" spans="3:15">
      <c r="C184" s="351" t="s">
        <v>528</v>
      </c>
      <c r="F184" s="416">
        <v>2.6</v>
      </c>
      <c r="H184" s="416">
        <v>0.67</v>
      </c>
      <c r="I184" s="416">
        <v>0.6</v>
      </c>
      <c r="J184" s="416">
        <v>0.56000000000000005</v>
      </c>
    </row>
    <row r="185" spans="3:15">
      <c r="C185" s="351" t="s">
        <v>529</v>
      </c>
      <c r="F185" s="416">
        <v>1.8</v>
      </c>
      <c r="H185" s="416">
        <v>0.67</v>
      </c>
      <c r="I185" s="416">
        <v>0.6</v>
      </c>
      <c r="J185" s="416">
        <v>0.56000000000000005</v>
      </c>
    </row>
    <row r="186" spans="3:15">
      <c r="C186" s="351" t="s">
        <v>530</v>
      </c>
      <c r="F186" s="416">
        <v>3.5</v>
      </c>
      <c r="H186" s="416">
        <v>0.3</v>
      </c>
      <c r="I186" s="416">
        <v>0.27</v>
      </c>
      <c r="J186" s="416">
        <v>0.25</v>
      </c>
    </row>
    <row r="187" spans="3:15">
      <c r="F187" s="416"/>
      <c r="H187" s="384"/>
      <c r="I187" s="384"/>
      <c r="J187" s="384"/>
    </row>
    <row r="189" spans="3:15">
      <c r="C189" s="351" t="s">
        <v>605</v>
      </c>
      <c r="D189" s="838" t="s">
        <v>602</v>
      </c>
      <c r="E189" s="838"/>
      <c r="F189" s="838"/>
      <c r="G189" s="838" t="s">
        <v>603</v>
      </c>
      <c r="H189" s="838"/>
      <c r="I189" s="838"/>
      <c r="J189" s="838" t="s">
        <v>604</v>
      </c>
      <c r="K189" s="838"/>
      <c r="L189" s="838"/>
    </row>
    <row r="190" spans="3:15">
      <c r="C190" s="351" t="s">
        <v>601</v>
      </c>
      <c r="D190" s="415">
        <v>15</v>
      </c>
      <c r="E190" s="415">
        <v>45</v>
      </c>
      <c r="F190" s="415">
        <v>65</v>
      </c>
      <c r="G190" s="415">
        <v>15</v>
      </c>
      <c r="H190" s="415">
        <v>45</v>
      </c>
      <c r="I190" s="415">
        <v>65</v>
      </c>
      <c r="J190" s="415">
        <v>15</v>
      </c>
      <c r="K190" s="415">
        <v>45</v>
      </c>
      <c r="L190" s="415">
        <v>65</v>
      </c>
      <c r="O190" s="351" t="s">
        <v>607</v>
      </c>
    </row>
    <row r="191" spans="3:15">
      <c r="C191" s="351" t="s">
        <v>590</v>
      </c>
      <c r="D191" s="447">
        <v>0.318</v>
      </c>
      <c r="E191" s="447">
        <v>0.32500000000000001</v>
      </c>
      <c r="F191" s="447">
        <v>0.32900000000000001</v>
      </c>
      <c r="G191" s="447">
        <v>0.34100000000000003</v>
      </c>
      <c r="H191" s="447">
        <v>0.35299999999999998</v>
      </c>
      <c r="I191" s="447">
        <v>0.35</v>
      </c>
      <c r="J191" s="447">
        <v>0.36</v>
      </c>
      <c r="K191" s="447">
        <v>0.36699999999999999</v>
      </c>
      <c r="L191" s="447">
        <v>0.36899999999999999</v>
      </c>
      <c r="O191" s="351">
        <v>15</v>
      </c>
    </row>
    <row r="192" spans="3:15">
      <c r="C192" s="351" t="s">
        <v>591</v>
      </c>
      <c r="D192" s="447">
        <v>0.33800000000000002</v>
      </c>
      <c r="E192" s="447">
        <v>0.34399999999999997</v>
      </c>
      <c r="F192" s="447">
        <v>0.35099999999999998</v>
      </c>
      <c r="G192" s="447">
        <v>0.35899999999999999</v>
      </c>
      <c r="H192" s="447">
        <v>0.36899999999999999</v>
      </c>
      <c r="I192" s="447">
        <v>0.36899999999999999</v>
      </c>
      <c r="J192" s="447">
        <v>0.374</v>
      </c>
      <c r="K192" s="447">
        <v>0.38100000000000001</v>
      </c>
      <c r="L192" s="447">
        <v>0.38300000000000001</v>
      </c>
      <c r="O192" s="351">
        <v>45</v>
      </c>
    </row>
    <row r="193" spans="3:20">
      <c r="C193" s="351" t="s">
        <v>592</v>
      </c>
      <c r="D193" s="447">
        <v>0.33300000000000002</v>
      </c>
      <c r="E193" s="447">
        <v>0.33900000000000002</v>
      </c>
      <c r="F193" s="447">
        <v>0.34300000000000003</v>
      </c>
      <c r="G193" s="447">
        <v>0.35499999999999998</v>
      </c>
      <c r="H193" s="447">
        <v>0.36399999999999999</v>
      </c>
      <c r="I193" s="447">
        <v>0.36099999999999999</v>
      </c>
      <c r="J193" s="447">
        <v>0.37</v>
      </c>
      <c r="K193" s="447">
        <v>0.375</v>
      </c>
      <c r="L193" s="447">
        <v>0.378</v>
      </c>
      <c r="O193" s="351">
        <v>65</v>
      </c>
    </row>
    <row r="194" spans="3:20">
      <c r="C194" s="351" t="s">
        <v>593</v>
      </c>
      <c r="D194" s="447">
        <v>0.307</v>
      </c>
      <c r="E194" s="447">
        <v>0.314</v>
      </c>
      <c r="F194" s="447">
        <v>0.316</v>
      </c>
      <c r="G194" s="447">
        <v>0.33300000000000002</v>
      </c>
      <c r="H194" s="447">
        <v>0.34399999999999997</v>
      </c>
      <c r="I194" s="447">
        <v>0.34</v>
      </c>
      <c r="J194" s="447">
        <v>0.35599999999999998</v>
      </c>
      <c r="K194" s="447">
        <v>0.36299999999999999</v>
      </c>
      <c r="L194" s="447">
        <v>0.36299999999999999</v>
      </c>
    </row>
    <row r="195" spans="3:20">
      <c r="C195" s="351" t="s">
        <v>594</v>
      </c>
      <c r="D195" s="447">
        <v>0.32700000000000001</v>
      </c>
      <c r="E195" s="447">
        <v>0.33400000000000002</v>
      </c>
      <c r="F195" s="447">
        <v>0.34100000000000003</v>
      </c>
      <c r="G195" s="447">
        <v>0.35</v>
      </c>
      <c r="H195" s="447">
        <v>0.36</v>
      </c>
      <c r="I195" s="447">
        <v>0.36</v>
      </c>
      <c r="J195" s="447">
        <v>0.36899999999999999</v>
      </c>
      <c r="K195" s="447">
        <v>0.376</v>
      </c>
      <c r="L195" s="447">
        <v>0.378</v>
      </c>
      <c r="O195" s="351" t="s">
        <v>610</v>
      </c>
    </row>
    <row r="196" spans="3:20">
      <c r="C196" s="351" t="s">
        <v>595</v>
      </c>
      <c r="D196" s="447">
        <v>0.31900000000000001</v>
      </c>
      <c r="E196" s="447">
        <v>0.32700000000000001</v>
      </c>
      <c r="F196" s="447">
        <v>0.33100000000000002</v>
      </c>
      <c r="G196" s="447">
        <v>0.34300000000000003</v>
      </c>
      <c r="H196" s="447">
        <v>0.35399999999999998</v>
      </c>
      <c r="I196" s="447">
        <v>0.35199999999999998</v>
      </c>
      <c r="J196" s="447">
        <v>0.36</v>
      </c>
      <c r="K196" s="447">
        <v>0.36799999999999999</v>
      </c>
      <c r="L196" s="447">
        <v>0.37</v>
      </c>
      <c r="O196" s="351" t="s">
        <v>608</v>
      </c>
    </row>
    <row r="197" spans="3:20">
      <c r="C197" s="351" t="s">
        <v>596</v>
      </c>
      <c r="D197" s="447">
        <v>0.33200000000000002</v>
      </c>
      <c r="E197" s="447">
        <v>0.34</v>
      </c>
      <c r="F197" s="447">
        <v>0.34399999999999997</v>
      </c>
      <c r="G197" s="447">
        <v>0.35499999999999998</v>
      </c>
      <c r="H197" s="447">
        <v>0.36499999999999999</v>
      </c>
      <c r="I197" s="447">
        <v>0.36299999999999999</v>
      </c>
      <c r="J197" s="447">
        <v>0.372</v>
      </c>
      <c r="K197" s="447">
        <v>0.378</v>
      </c>
      <c r="L197" s="447">
        <v>0.38100000000000001</v>
      </c>
      <c r="O197" s="351" t="s">
        <v>609</v>
      </c>
    </row>
    <row r="198" spans="3:20">
      <c r="C198" s="351" t="s">
        <v>597</v>
      </c>
      <c r="D198" s="447">
        <v>0.33500000000000002</v>
      </c>
      <c r="E198" s="447">
        <v>0.34200000000000003</v>
      </c>
      <c r="F198" s="447">
        <v>0.34799999999999998</v>
      </c>
      <c r="G198" s="447">
        <v>0.35699999999999998</v>
      </c>
      <c r="H198" s="447">
        <v>0.36599999999999999</v>
      </c>
      <c r="I198" s="447">
        <v>0.36599999999999999</v>
      </c>
      <c r="J198" s="447">
        <v>0.373</v>
      </c>
      <c r="K198" s="447">
        <v>0.38100000000000001</v>
      </c>
      <c r="L198" s="447">
        <v>0.38200000000000001</v>
      </c>
    </row>
    <row r="199" spans="3:20">
      <c r="C199" s="351" t="s">
        <v>598</v>
      </c>
      <c r="D199" s="447">
        <v>0.32500000000000001</v>
      </c>
      <c r="E199" s="447">
        <v>0.33200000000000002</v>
      </c>
      <c r="F199" s="447">
        <v>0.33700000000000002</v>
      </c>
      <c r="G199" s="447">
        <v>0.34799999999999998</v>
      </c>
      <c r="H199" s="447">
        <v>0.35799999999999998</v>
      </c>
      <c r="I199" s="447">
        <v>0.35799999999999998</v>
      </c>
      <c r="J199" s="447">
        <v>0.36799999999999999</v>
      </c>
      <c r="K199" s="447">
        <v>0.375</v>
      </c>
      <c r="L199" s="447">
        <v>0.376</v>
      </c>
    </row>
    <row r="200" spans="3:20">
      <c r="C200" s="351" t="s">
        <v>599</v>
      </c>
      <c r="D200" s="447">
        <v>0.317</v>
      </c>
      <c r="E200" s="447">
        <v>0.32400000000000001</v>
      </c>
      <c r="F200" s="447">
        <v>0.32700000000000001</v>
      </c>
      <c r="G200" s="447">
        <v>0.34</v>
      </c>
      <c r="H200" s="447">
        <v>0.34899999999999998</v>
      </c>
      <c r="I200" s="447">
        <v>0.34699999999999998</v>
      </c>
      <c r="J200" s="447">
        <v>0.36299999999999999</v>
      </c>
      <c r="K200" s="447">
        <v>0.36899999999999999</v>
      </c>
      <c r="L200" s="447">
        <v>0.37</v>
      </c>
    </row>
    <row r="201" spans="3:20">
      <c r="C201" s="351" t="s">
        <v>600</v>
      </c>
      <c r="D201" s="447">
        <v>0.32500000000000001</v>
      </c>
      <c r="E201" s="447">
        <v>0.33200000000000002</v>
      </c>
      <c r="F201" s="447">
        <v>0.33700000000000002</v>
      </c>
      <c r="G201" s="447">
        <v>0.34799999999999998</v>
      </c>
      <c r="H201" s="447">
        <v>0.35799999999999998</v>
      </c>
      <c r="I201" s="447">
        <v>0.35699999999999998</v>
      </c>
      <c r="J201" s="447">
        <v>0.36599999999999999</v>
      </c>
      <c r="K201" s="447">
        <v>0.373</v>
      </c>
      <c r="L201" s="447">
        <v>0.375</v>
      </c>
    </row>
    <row r="202" spans="3:20">
      <c r="M202" s="422" t="s">
        <v>617</v>
      </c>
      <c r="N202" s="351" t="s">
        <v>616</v>
      </c>
      <c r="O202" s="448" t="str">
        <f>ΥΠΟΛΟΓΙΣΜΟΙ!B86</f>
        <v>επιλογή τύπου</v>
      </c>
    </row>
    <row r="203" spans="3:20">
      <c r="N203" s="351" t="s">
        <v>611</v>
      </c>
      <c r="O203" s="448" t="str">
        <f>ΥΠΟΛΟΓΙΣΜΟΙ!E86</f>
        <v>Χρήση:</v>
      </c>
      <c r="Q203" s="384">
        <f>IF(O203=O196,IF(O202=D189,INDEX(D191:F201,MATCH(O204,C191:C201,0),MATCH(O205,D190:F190,0)),IF(O202=G189,INDEX(G191:I201,MATCH(O204,C191:C201,0),MATCH(O205,G190:I190,0)),INDEX(J191:L201,MATCH(O204,C191:C201,0),MATCH(O205,J190:L190,0)))),0)</f>
        <v>0</v>
      </c>
      <c r="R203" s="384" t="s">
        <v>618</v>
      </c>
      <c r="S203" s="384" t="s">
        <v>614</v>
      </c>
      <c r="T203" s="384" t="s">
        <v>619</v>
      </c>
    </row>
    <row r="204" spans="3:20">
      <c r="C204" s="351" t="s">
        <v>606</v>
      </c>
      <c r="D204" s="838" t="s">
        <v>602</v>
      </c>
      <c r="E204" s="838"/>
      <c r="F204" s="838"/>
      <c r="G204" s="838" t="s">
        <v>603</v>
      </c>
      <c r="H204" s="838"/>
      <c r="I204" s="838"/>
      <c r="J204" s="838" t="s">
        <v>604</v>
      </c>
      <c r="K204" s="838"/>
      <c r="L204" s="838"/>
      <c r="N204" s="351" t="s">
        <v>612</v>
      </c>
      <c r="O204" s="448" t="str">
        <f>ΥΠΟΛΟΓΙΣΜΟΙ!G86</f>
        <v>Πολη:</v>
      </c>
      <c r="Q204" s="384">
        <f>IF(O203=O197,IF(O202=D204,INDEX(D206:F216,MATCH(O204,C206:C216,0),MATCH(O205,D205:F205,0)),IF(O202=G204,INDEX(G206:I216,MATCH(O204,C206:C216,0),MATCH(O205,G205:I205,0)),INDEX(J206:L216,MATCH(O204,C206:C216,0),MATCH(O205,J205:L205,0)))),0)</f>
        <v>0</v>
      </c>
      <c r="R204" s="384">
        <f>Q203+Q204</f>
        <v>0</v>
      </c>
      <c r="S204" s="416" t="str">
        <f>O206</f>
        <v>οχι</v>
      </c>
      <c r="T204" s="384" t="str">
        <f>IF(R204=0,"-",IF(S204="οχι",R204,0.8*R204))</f>
        <v>-</v>
      </c>
    </row>
    <row r="205" spans="3:20">
      <c r="C205" s="351" t="s">
        <v>601</v>
      </c>
      <c r="D205" s="415">
        <v>15</v>
      </c>
      <c r="E205" s="415">
        <v>45</v>
      </c>
      <c r="F205" s="415">
        <v>65</v>
      </c>
      <c r="G205" s="415">
        <v>15</v>
      </c>
      <c r="H205" s="415">
        <v>45</v>
      </c>
      <c r="I205" s="415">
        <v>65</v>
      </c>
      <c r="J205" s="415">
        <v>15</v>
      </c>
      <c r="K205" s="415">
        <v>45</v>
      </c>
      <c r="L205" s="415">
        <v>65</v>
      </c>
      <c r="N205" s="351" t="s">
        <v>613</v>
      </c>
      <c r="O205" s="449" t="str">
        <f>ΥΠΟΛΟΓΙΣΜΟΙ!I86</f>
        <v>-</v>
      </c>
    </row>
    <row r="206" spans="3:20">
      <c r="C206" s="351" t="s">
        <v>590</v>
      </c>
      <c r="D206" s="447">
        <v>0.312</v>
      </c>
      <c r="E206" s="447">
        <v>0.316</v>
      </c>
      <c r="F206" s="447">
        <v>0.32500000000000001</v>
      </c>
      <c r="G206" s="447">
        <v>0.32700000000000001</v>
      </c>
      <c r="H206" s="447">
        <v>0.33300000000000002</v>
      </c>
      <c r="I206" s="447">
        <v>0.33900000000000002</v>
      </c>
      <c r="J206" s="447">
        <v>0.33700000000000002</v>
      </c>
      <c r="K206" s="447">
        <v>0.34100000000000003</v>
      </c>
      <c r="L206" s="447">
        <v>0.35099999999999998</v>
      </c>
      <c r="N206" s="351" t="s">
        <v>614</v>
      </c>
      <c r="O206" s="448" t="str">
        <f>ΥΠΟΛΟΓΙΣΜΟΙ!J86</f>
        <v>οχι</v>
      </c>
    </row>
    <row r="207" spans="3:20">
      <c r="C207" s="351" t="s">
        <v>591</v>
      </c>
      <c r="D207" s="447">
        <v>0.32400000000000001</v>
      </c>
      <c r="E207" s="447">
        <v>0.32400000000000001</v>
      </c>
      <c r="F207" s="447">
        <v>0.33400000000000002</v>
      </c>
      <c r="G207" s="447">
        <v>0.33800000000000002</v>
      </c>
      <c r="H207" s="447">
        <v>0.33800000000000002</v>
      </c>
      <c r="I207" s="447">
        <v>0.34399999999999997</v>
      </c>
      <c r="J207" s="447">
        <v>0.34899999999999998</v>
      </c>
      <c r="K207" s="447">
        <v>0.34799999999999998</v>
      </c>
      <c r="L207" s="447">
        <v>0.35499999999999998</v>
      </c>
    </row>
    <row r="208" spans="3:20">
      <c r="C208" s="351" t="s">
        <v>592</v>
      </c>
      <c r="D208" s="447">
        <v>0.30399999999999999</v>
      </c>
      <c r="E208" s="447">
        <v>0.29899999999999999</v>
      </c>
      <c r="F208" s="447">
        <v>0.308</v>
      </c>
      <c r="G208" s="447">
        <v>0.315</v>
      </c>
      <c r="H208" s="447">
        <v>0.308</v>
      </c>
      <c r="I208" s="447">
        <v>0.313</v>
      </c>
      <c r="J208" s="447">
        <v>0.32100000000000001</v>
      </c>
      <c r="K208" s="447">
        <v>0.317</v>
      </c>
      <c r="L208" s="447">
        <v>0.32500000000000001</v>
      </c>
    </row>
    <row r="209" spans="3:20">
      <c r="C209" s="351" t="s">
        <v>593</v>
      </c>
      <c r="D209" s="447">
        <v>0.308</v>
      </c>
      <c r="E209" s="447">
        <v>0.309</v>
      </c>
      <c r="F209" s="447">
        <v>0.314</v>
      </c>
      <c r="G209" s="447">
        <v>0.32500000000000001</v>
      </c>
      <c r="H209" s="447">
        <v>0.32700000000000001</v>
      </c>
      <c r="I209" s="447">
        <v>0.32800000000000001</v>
      </c>
      <c r="J209" s="447">
        <v>0.33700000000000002</v>
      </c>
      <c r="K209" s="447">
        <v>0.33600000000000002</v>
      </c>
      <c r="L209" s="447">
        <v>0.34100000000000003</v>
      </c>
      <c r="M209" s="422" t="s">
        <v>620</v>
      </c>
      <c r="N209" s="351" t="s">
        <v>616</v>
      </c>
      <c r="O209" s="448" t="str">
        <f>ΥΠΟΛΟΓΙΣΜΟΙ!B87</f>
        <v>επιλογή τύπου</v>
      </c>
    </row>
    <row r="210" spans="3:20">
      <c r="C210" s="351" t="s">
        <v>594</v>
      </c>
      <c r="D210" s="447">
        <v>0.32800000000000001</v>
      </c>
      <c r="E210" s="447">
        <v>0.33400000000000002</v>
      </c>
      <c r="F210" s="447">
        <v>0.34599999999999997</v>
      </c>
      <c r="G210" s="447">
        <v>0.34300000000000003</v>
      </c>
      <c r="H210" s="447">
        <v>0.35199999999999998</v>
      </c>
      <c r="I210" s="447">
        <v>0.36</v>
      </c>
      <c r="J210" s="447">
        <v>0.35599999999999998</v>
      </c>
      <c r="K210" s="447">
        <v>0.36399999999999999</v>
      </c>
      <c r="L210" s="447">
        <v>0.372</v>
      </c>
      <c r="N210" s="351" t="s">
        <v>611</v>
      </c>
      <c r="O210" s="448" t="str">
        <f>ΥΠΟΛΟΓΙΣΜΟΙ!E87</f>
        <v>Χρήση:</v>
      </c>
      <c r="Q210" s="384">
        <f>IF(O210=O196,IF(O209=D189,INDEX(D191:F201,MATCH(O211,C191:C201,0),MATCH(O212,D190:F190,0)),IF(O209=G189,INDEX(G191:I201,MATCH(O211,C191:C201,0),MATCH(O212,G190:I190,0)),INDEX(J191:L201,MATCH(O211,C191:C201,0),MATCH(O212,J190:L190,0)))),0)</f>
        <v>0</v>
      </c>
      <c r="R210" s="384" t="s">
        <v>618</v>
      </c>
      <c r="S210" s="384" t="s">
        <v>614</v>
      </c>
      <c r="T210" s="384" t="s">
        <v>619</v>
      </c>
    </row>
    <row r="211" spans="3:20">
      <c r="C211" s="351" t="s">
        <v>595</v>
      </c>
      <c r="D211" s="447">
        <v>0.307</v>
      </c>
      <c r="E211" s="447">
        <v>0.309</v>
      </c>
      <c r="F211" s="447">
        <v>0.32</v>
      </c>
      <c r="G211" s="447">
        <v>0.32</v>
      </c>
      <c r="H211" s="447">
        <v>0.32300000000000001</v>
      </c>
      <c r="I211" s="447">
        <v>0.33</v>
      </c>
      <c r="J211" s="447">
        <v>0.32500000000000001</v>
      </c>
      <c r="K211" s="447">
        <v>0.33100000000000002</v>
      </c>
      <c r="L211" s="447">
        <v>0.34200000000000003</v>
      </c>
      <c r="N211" s="351" t="s">
        <v>612</v>
      </c>
      <c r="O211" s="448" t="str">
        <f>ΥΠΟΛΟΓΙΣΜΟΙ!G87</f>
        <v>Πολη:</v>
      </c>
      <c r="Q211" s="384">
        <f>IF(O210=O197,IF(O209=D204,INDEX(D206:F216,MATCH(O211,C206:C216,0),MATCH(O212,D205:F205,0)),IF(O209=G204,INDEX(G206:I216,MATCH(O211,C206:C216,0),MATCH(O212,G205:I205,0)),INDEX(J206:L216,MATCH(O211,C206:C216,0),MATCH(O212,J205:L205,0)))),0)</f>
        <v>0</v>
      </c>
      <c r="R211" s="384">
        <f>Q210+Q211</f>
        <v>0</v>
      </c>
      <c r="S211" s="416" t="str">
        <f>O213</f>
        <v>οχι</v>
      </c>
      <c r="T211" s="384" t="str">
        <f>IF(R211=0,"-",IF(S211="οχι",R211,0.8*R211))</f>
        <v>-</v>
      </c>
    </row>
    <row r="212" spans="3:20">
      <c r="C212" s="351" t="s">
        <v>596</v>
      </c>
      <c r="D212" s="447">
        <v>0.314</v>
      </c>
      <c r="E212" s="447">
        <v>0.316</v>
      </c>
      <c r="F212" s="447">
        <v>0.32600000000000001</v>
      </c>
      <c r="G212" s="447">
        <v>0.32900000000000001</v>
      </c>
      <c r="H212" s="447">
        <v>0.33</v>
      </c>
      <c r="I212" s="447">
        <v>0.33600000000000002</v>
      </c>
      <c r="J212" s="447">
        <v>0.34100000000000003</v>
      </c>
      <c r="K212" s="447">
        <v>0.34300000000000003</v>
      </c>
      <c r="L212" s="447">
        <v>0.35199999999999998</v>
      </c>
      <c r="N212" s="351" t="s">
        <v>613</v>
      </c>
      <c r="O212" s="449" t="str">
        <f>ΥΠΟΛΟΓΙΣΜΟΙ!I87</f>
        <v>-</v>
      </c>
    </row>
    <row r="213" spans="3:20">
      <c r="C213" s="351" t="s">
        <v>597</v>
      </c>
      <c r="D213" s="447">
        <v>0.32500000000000001</v>
      </c>
      <c r="E213" s="447">
        <v>0.33</v>
      </c>
      <c r="F213" s="447">
        <v>0.34200000000000003</v>
      </c>
      <c r="G213" s="447">
        <v>0.34</v>
      </c>
      <c r="H213" s="447">
        <v>0.34699999999999998</v>
      </c>
      <c r="I213" s="447">
        <v>0.35399999999999998</v>
      </c>
      <c r="J213" s="447">
        <v>0.35099999999999998</v>
      </c>
      <c r="K213" s="447">
        <v>0.35899999999999999</v>
      </c>
      <c r="L213" s="447">
        <v>0.36899999999999999</v>
      </c>
      <c r="N213" s="351" t="s">
        <v>614</v>
      </c>
      <c r="O213" s="448" t="str">
        <f>ΥΠΟΛΟΓΙΣΜΟΙ!J87</f>
        <v>οχι</v>
      </c>
    </row>
    <row r="214" spans="3:20">
      <c r="C214" s="351" t="s">
        <v>598</v>
      </c>
      <c r="D214" s="447">
        <v>0.32300000000000001</v>
      </c>
      <c r="E214" s="447">
        <v>0.32900000000000001</v>
      </c>
      <c r="F214" s="447">
        <v>0.33900000000000002</v>
      </c>
      <c r="G214" s="447">
        <v>0.33900000000000002</v>
      </c>
      <c r="H214" s="447">
        <v>0.34699999999999998</v>
      </c>
      <c r="I214" s="447">
        <v>0.35299999999999998</v>
      </c>
      <c r="J214" s="447">
        <v>0.35199999999999998</v>
      </c>
      <c r="K214" s="447">
        <v>0.35799999999999998</v>
      </c>
      <c r="L214" s="447">
        <v>0.36499999999999999</v>
      </c>
    </row>
    <row r="215" spans="3:20">
      <c r="C215" s="351" t="s">
        <v>599</v>
      </c>
      <c r="D215" s="447">
        <v>0.315</v>
      </c>
      <c r="E215" s="447">
        <v>0.318</v>
      </c>
      <c r="F215" s="447">
        <v>0.32500000000000001</v>
      </c>
      <c r="G215" s="447">
        <v>0.33</v>
      </c>
      <c r="H215" s="447">
        <v>0.33400000000000002</v>
      </c>
      <c r="I215" s="447">
        <v>0.33600000000000002</v>
      </c>
      <c r="J215" s="447">
        <v>0.34300000000000003</v>
      </c>
      <c r="K215" s="447">
        <v>0.34499999999999997</v>
      </c>
      <c r="L215" s="447">
        <v>0.35</v>
      </c>
    </row>
    <row r="216" spans="3:20">
      <c r="C216" s="351" t="s">
        <v>600</v>
      </c>
      <c r="D216" s="447">
        <v>0.316</v>
      </c>
      <c r="E216" s="447">
        <v>0.318</v>
      </c>
      <c r="F216" s="447">
        <v>0.32800000000000001</v>
      </c>
      <c r="G216" s="447">
        <v>0.33100000000000002</v>
      </c>
      <c r="H216" s="447">
        <v>0.33400000000000002</v>
      </c>
      <c r="I216" s="447">
        <v>0.33900000000000002</v>
      </c>
      <c r="J216" s="447">
        <v>0.34100000000000003</v>
      </c>
      <c r="K216" s="447">
        <v>0.34399999999999997</v>
      </c>
      <c r="L216" s="447">
        <v>0.35199999999999998</v>
      </c>
    </row>
    <row r="220" spans="3:20">
      <c r="N220" s="351" t="s">
        <v>637</v>
      </c>
    </row>
    <row r="221" spans="3:20">
      <c r="N221" s="351" t="s">
        <v>638</v>
      </c>
    </row>
    <row r="222" spans="3:20">
      <c r="C222" s="351" t="s">
        <v>623</v>
      </c>
      <c r="N222" s="351" t="s">
        <v>639</v>
      </c>
    </row>
    <row r="223" spans="3:20">
      <c r="N223" s="351" t="s">
        <v>640</v>
      </c>
    </row>
    <row r="224" spans="3:20">
      <c r="C224" s="351" t="s">
        <v>634</v>
      </c>
    </row>
    <row r="225" spans="3:17">
      <c r="C225" s="351" t="s">
        <v>624</v>
      </c>
    </row>
    <row r="226" spans="3:17">
      <c r="C226" s="419" t="s">
        <v>635</v>
      </c>
      <c r="K226" s="384" t="s">
        <v>625</v>
      </c>
      <c r="L226" s="384" t="s">
        <v>626</v>
      </c>
      <c r="O226" s="394" t="str">
        <f>ΥΠΟΛΟΓΙΣΜΟΙ!A14</f>
        <v>Κούφωμα με μονό υαλοπίνακα, μη αεροστεγές, χωνευτό, επάλληλο, ανοιγόμενο</v>
      </c>
    </row>
    <row r="227" spans="3:17">
      <c r="C227" s="351" t="s">
        <v>628</v>
      </c>
      <c r="K227" s="384">
        <v>11.8</v>
      </c>
      <c r="L227" s="384">
        <v>15.1</v>
      </c>
      <c r="O227" s="394" t="str">
        <f>ΥΠΟΛΟΓΙΣΜΟΙ!C13</f>
        <v>πλαίσιο:</v>
      </c>
    </row>
    <row r="228" spans="3:17">
      <c r="C228" s="351" t="s">
        <v>627</v>
      </c>
      <c r="K228" s="384">
        <v>11.8</v>
      </c>
      <c r="L228" s="384">
        <v>15.1</v>
      </c>
    </row>
    <row r="229" spans="3:17">
      <c r="C229" s="351" t="s">
        <v>629</v>
      </c>
      <c r="K229" s="384">
        <v>9.8000000000000007</v>
      </c>
      <c r="L229" s="384">
        <v>12.5</v>
      </c>
      <c r="O229" s="351" t="s">
        <v>641</v>
      </c>
      <c r="Q229" s="351" t="str">
        <f>IF(O227=N220,"-",IF(O227=N221,INDEX(K227:K233,MATCH(O226,C227:C233,0)),INDEX(K236:K242,MATCH(O226,C236:C242,0))))</f>
        <v>-</v>
      </c>
    </row>
    <row r="230" spans="3:17">
      <c r="C230" s="351" t="s">
        <v>630</v>
      </c>
      <c r="K230" s="384">
        <v>9.8000000000000007</v>
      </c>
      <c r="L230" s="384">
        <v>12.5</v>
      </c>
      <c r="O230" s="351" t="s">
        <v>642</v>
      </c>
      <c r="Q230" s="351" t="str">
        <f>IF(O227=N220,"-",IF(O227=N221,INDEX(L227:L233,MATCH(O226,C227:C233,0)),INDEX(L236:L242,MATCH(O226,C236:C242,0))))</f>
        <v>-</v>
      </c>
    </row>
    <row r="231" spans="3:17">
      <c r="C231" s="351" t="s">
        <v>631</v>
      </c>
      <c r="K231" s="384">
        <v>9.8000000000000007</v>
      </c>
      <c r="L231" s="384">
        <v>12.5</v>
      </c>
    </row>
    <row r="232" spans="3:17">
      <c r="C232" s="351" t="s">
        <v>632</v>
      </c>
      <c r="K232" s="384">
        <v>7.9</v>
      </c>
      <c r="L232" s="384">
        <v>10</v>
      </c>
    </row>
    <row r="233" spans="3:17">
      <c r="C233" s="351" t="s">
        <v>633</v>
      </c>
      <c r="K233" s="384">
        <v>7.9</v>
      </c>
      <c r="L233" s="384">
        <v>10</v>
      </c>
    </row>
    <row r="234" spans="3:17">
      <c r="K234" s="384"/>
      <c r="L234" s="384"/>
    </row>
    <row r="235" spans="3:17">
      <c r="C235" s="419" t="s">
        <v>636</v>
      </c>
      <c r="K235" s="384"/>
      <c r="L235" s="384"/>
    </row>
    <row r="236" spans="3:17">
      <c r="C236" s="351" t="s">
        <v>628</v>
      </c>
      <c r="K236" s="384">
        <v>7.4</v>
      </c>
      <c r="L236" s="384">
        <v>8.6999999999999993</v>
      </c>
    </row>
    <row r="237" spans="3:17">
      <c r="C237" s="351" t="s">
        <v>627</v>
      </c>
      <c r="K237" s="384">
        <v>7.4</v>
      </c>
      <c r="L237" s="384">
        <v>8.6999999999999993</v>
      </c>
    </row>
    <row r="238" spans="3:17">
      <c r="C238" s="351" t="s">
        <v>629</v>
      </c>
      <c r="K238" s="384">
        <v>5.3</v>
      </c>
      <c r="L238" s="384">
        <v>6.8</v>
      </c>
    </row>
    <row r="239" spans="3:17">
      <c r="C239" s="351" t="s">
        <v>630</v>
      </c>
      <c r="K239" s="384">
        <v>5.3</v>
      </c>
      <c r="L239" s="384">
        <v>6.8</v>
      </c>
    </row>
    <row r="240" spans="3:17">
      <c r="C240" s="351" t="s">
        <v>631</v>
      </c>
      <c r="K240" s="384">
        <v>5.3</v>
      </c>
      <c r="L240" s="384">
        <v>6.8</v>
      </c>
    </row>
    <row r="241" spans="3:12">
      <c r="C241" s="351" t="s">
        <v>632</v>
      </c>
      <c r="K241" s="384">
        <v>4.8</v>
      </c>
      <c r="L241" s="384">
        <v>6.2</v>
      </c>
    </row>
    <row r="242" spans="3:12">
      <c r="C242" s="351" t="s">
        <v>633</v>
      </c>
      <c r="K242" s="384">
        <v>4.8</v>
      </c>
      <c r="L242" s="384">
        <v>6.2</v>
      </c>
    </row>
  </sheetData>
  <mergeCells count="36">
    <mergeCell ref="D204:F204"/>
    <mergeCell ref="G204:I204"/>
    <mergeCell ref="J204:L204"/>
    <mergeCell ref="R42:T42"/>
    <mergeCell ref="R43:T43"/>
    <mergeCell ref="I170:J170"/>
    <mergeCell ref="K170:L170"/>
    <mergeCell ref="I171:J171"/>
    <mergeCell ref="D189:F189"/>
    <mergeCell ref="G189:I189"/>
    <mergeCell ref="J189:L189"/>
    <mergeCell ref="R37:U37"/>
    <mergeCell ref="Q145:Q146"/>
    <mergeCell ref="Q147:Q148"/>
    <mergeCell ref="N27:O27"/>
    <mergeCell ref="P27:Q27"/>
    <mergeCell ref="B20:F20"/>
    <mergeCell ref="B26:F26"/>
    <mergeCell ref="H20:L20"/>
    <mergeCell ref="H26:L26"/>
    <mergeCell ref="K142:M142"/>
    <mergeCell ref="H48:I48"/>
    <mergeCell ref="G121:L121"/>
    <mergeCell ref="G128:L128"/>
    <mergeCell ref="G137:L137"/>
    <mergeCell ref="G100:L100"/>
    <mergeCell ref="G98:I98"/>
    <mergeCell ref="J98:L98"/>
    <mergeCell ref="G107:L107"/>
    <mergeCell ref="G114:L114"/>
    <mergeCell ref="L48:M48"/>
    <mergeCell ref="B17:B19"/>
    <mergeCell ref="B16:F16"/>
    <mergeCell ref="H16:L16"/>
    <mergeCell ref="G17:G19"/>
    <mergeCell ref="H17:H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1:AR141"/>
  <sheetViews>
    <sheetView zoomScaleNormal="100" workbookViewId="0"/>
  </sheetViews>
  <sheetFormatPr defaultColWidth="8.88671875" defaultRowHeight="13.8"/>
  <cols>
    <col min="1" max="16384" width="8.88671875" style="1"/>
  </cols>
  <sheetData>
    <row r="1" spans="2:44">
      <c r="U1" s="2"/>
    </row>
    <row r="2" spans="2:44">
      <c r="U2" s="2"/>
    </row>
    <row r="3" spans="2:44">
      <c r="B3" s="3" t="s">
        <v>89</v>
      </c>
      <c r="U3" s="2"/>
      <c r="V3" s="3" t="s">
        <v>90</v>
      </c>
    </row>
    <row r="4" spans="2:44">
      <c r="B4" s="1" t="s">
        <v>32</v>
      </c>
      <c r="C4" s="1" t="s">
        <v>33</v>
      </c>
      <c r="D4" s="858" t="s">
        <v>34</v>
      </c>
      <c r="E4" s="858"/>
      <c r="F4" s="858"/>
      <c r="G4" s="858"/>
      <c r="H4" s="858"/>
      <c r="I4" s="858"/>
      <c r="J4" s="858"/>
      <c r="K4" s="858"/>
      <c r="L4" s="4"/>
      <c r="M4" s="4"/>
      <c r="N4" s="4"/>
      <c r="O4" s="4"/>
      <c r="P4" s="4"/>
      <c r="Q4" s="4"/>
      <c r="R4" s="4"/>
      <c r="S4" s="4"/>
      <c r="T4" s="4"/>
      <c r="U4" s="2"/>
      <c r="V4" s="1" t="s">
        <v>32</v>
      </c>
      <c r="W4" s="1" t="s">
        <v>33</v>
      </c>
      <c r="X4" s="858" t="s">
        <v>34</v>
      </c>
      <c r="Y4" s="858"/>
      <c r="Z4" s="858"/>
      <c r="AA4" s="858"/>
      <c r="AB4" s="858"/>
      <c r="AC4" s="858"/>
      <c r="AD4" s="858"/>
      <c r="AE4" s="858"/>
    </row>
    <row r="5" spans="2:44">
      <c r="D5" s="4">
        <v>180</v>
      </c>
      <c r="E5" s="4">
        <v>135</v>
      </c>
      <c r="F5" s="4">
        <v>225</v>
      </c>
      <c r="G5" s="4">
        <v>90</v>
      </c>
      <c r="H5" s="4">
        <v>270</v>
      </c>
      <c r="I5" s="4">
        <v>45</v>
      </c>
      <c r="J5" s="4">
        <v>315</v>
      </c>
      <c r="K5" s="5">
        <v>0</v>
      </c>
      <c r="L5" s="6">
        <v>360</v>
      </c>
      <c r="M5" s="6">
        <f>0.5*(K5+I5)</f>
        <v>22.5</v>
      </c>
      <c r="N5" s="6">
        <f>0.5*(I5+G5)</f>
        <v>67.5</v>
      </c>
      <c r="O5" s="6">
        <f>0.5*(G5+E5)</f>
        <v>112.5</v>
      </c>
      <c r="P5" s="6">
        <f>0.5*(E5+D5)</f>
        <v>157.5</v>
      </c>
      <c r="Q5" s="6">
        <f>0.5*(D5+F5)</f>
        <v>202.5</v>
      </c>
      <c r="R5" s="6">
        <f>0.5*(F5+H5)</f>
        <v>247.5</v>
      </c>
      <c r="S5" s="6">
        <f>0.5*(H5+J5)</f>
        <v>292.5</v>
      </c>
      <c r="T5" s="6">
        <f>0.5*(J5+L5)</f>
        <v>337.5</v>
      </c>
      <c r="U5" s="2"/>
      <c r="X5" s="4">
        <v>180</v>
      </c>
      <c r="Y5" s="4">
        <v>135</v>
      </c>
      <c r="Z5" s="4">
        <v>225</v>
      </c>
      <c r="AA5" s="4">
        <v>90</v>
      </c>
      <c r="AB5" s="4">
        <v>270</v>
      </c>
      <c r="AC5" s="4">
        <v>45</v>
      </c>
      <c r="AD5" s="4">
        <v>315</v>
      </c>
      <c r="AE5" s="5">
        <v>0</v>
      </c>
      <c r="AF5" s="6">
        <v>360</v>
      </c>
      <c r="AG5" s="6">
        <f>0.5*(AE5+AC5)</f>
        <v>22.5</v>
      </c>
      <c r="AH5" s="6">
        <f>0.5*(AC5+AA5)</f>
        <v>67.5</v>
      </c>
      <c r="AI5" s="6">
        <f>0.5*(AA5+Y5)</f>
        <v>112.5</v>
      </c>
      <c r="AJ5" s="6">
        <f>0.5*(Y5+X5)</f>
        <v>157.5</v>
      </c>
      <c r="AK5" s="6">
        <f>0.5*(X5+Z5)</f>
        <v>202.5</v>
      </c>
      <c r="AL5" s="6">
        <f>0.5*(Z5+AB5)</f>
        <v>247.5</v>
      </c>
      <c r="AM5" s="6">
        <f>0.5*(AB5+AD5)</f>
        <v>292.5</v>
      </c>
      <c r="AN5" s="6">
        <f>0.5*(AD5+AF5)</f>
        <v>337.5</v>
      </c>
    </row>
    <row r="6" spans="2:44">
      <c r="B6" s="7">
        <v>0</v>
      </c>
      <c r="C6" s="8" t="s">
        <v>35</v>
      </c>
      <c r="D6" s="9">
        <v>1</v>
      </c>
      <c r="E6" s="9">
        <v>1</v>
      </c>
      <c r="F6" s="9">
        <v>1</v>
      </c>
      <c r="G6" s="9">
        <v>1</v>
      </c>
      <c r="H6" s="9">
        <v>1</v>
      </c>
      <c r="I6" s="9">
        <v>1</v>
      </c>
      <c r="J6" s="9">
        <v>1</v>
      </c>
      <c r="K6" s="9">
        <v>1</v>
      </c>
      <c r="L6" s="9">
        <f>K6</f>
        <v>1</v>
      </c>
      <c r="M6" s="9">
        <f>0.5*(K6+I6)</f>
        <v>1</v>
      </c>
      <c r="N6" s="9">
        <f>0.5*(I6+G6)</f>
        <v>1</v>
      </c>
      <c r="O6" s="9">
        <f>0.5*(G6+E6)</f>
        <v>1</v>
      </c>
      <c r="P6" s="9">
        <f>0.5*(E6+D6)</f>
        <v>1</v>
      </c>
      <c r="Q6" s="9">
        <f>0.5*(D6+F6)</f>
        <v>1</v>
      </c>
      <c r="R6" s="9">
        <f>0.5*(F6+H6)</f>
        <v>1</v>
      </c>
      <c r="S6" s="9">
        <f>0.5*(H6+J6)</f>
        <v>1</v>
      </c>
      <c r="T6" s="10">
        <f>0.5*(J6+L6)</f>
        <v>1</v>
      </c>
      <c r="U6" s="2"/>
      <c r="V6" s="11">
        <v>0</v>
      </c>
      <c r="W6" s="8" t="s">
        <v>37</v>
      </c>
      <c r="X6" s="9">
        <v>1</v>
      </c>
      <c r="Y6" s="9">
        <v>1</v>
      </c>
      <c r="Z6" s="9">
        <v>1</v>
      </c>
      <c r="AA6" s="9">
        <v>1</v>
      </c>
      <c r="AB6" s="9">
        <v>1</v>
      </c>
      <c r="AC6" s="9">
        <v>1</v>
      </c>
      <c r="AD6" s="9">
        <v>1</v>
      </c>
      <c r="AE6" s="9">
        <v>1</v>
      </c>
      <c r="AF6" s="9">
        <f>AE6</f>
        <v>1</v>
      </c>
      <c r="AG6" s="9">
        <f>0.5*(AE6+AC6)</f>
        <v>1</v>
      </c>
      <c r="AH6" s="9">
        <f>0.5*(AC6+AA6)</f>
        <v>1</v>
      </c>
      <c r="AI6" s="9">
        <f>0.5*(AA6+Y6)</f>
        <v>1</v>
      </c>
      <c r="AJ6" s="9">
        <f>0.5*(Y6+X6)</f>
        <v>1</v>
      </c>
      <c r="AK6" s="9">
        <f>0.5*(X6+Z6)</f>
        <v>1</v>
      </c>
      <c r="AL6" s="9">
        <f>0.5*(Z6+AB6)</f>
        <v>1</v>
      </c>
      <c r="AM6" s="9">
        <f>0.5*(AB6+AD6)</f>
        <v>1</v>
      </c>
      <c r="AN6" s="9">
        <f>0.5*(AD6+AF6)</f>
        <v>1</v>
      </c>
      <c r="AQ6" s="191">
        <v>0</v>
      </c>
      <c r="AR6" s="191" t="s">
        <v>396</v>
      </c>
    </row>
    <row r="7" spans="2:44">
      <c r="B7" s="7">
        <f>0.5*(B6+B8)</f>
        <v>2.5</v>
      </c>
      <c r="C7" s="7"/>
      <c r="D7" s="12">
        <f t="shared" ref="D7:AN7" si="0">0.5*(D6+D8)</f>
        <v>0.99</v>
      </c>
      <c r="E7" s="12">
        <f t="shared" si="0"/>
        <v>0.98499999999999999</v>
      </c>
      <c r="F7" s="12">
        <f t="shared" si="0"/>
        <v>0.98499999999999999</v>
      </c>
      <c r="G7" s="12">
        <f t="shared" si="0"/>
        <v>0.98</v>
      </c>
      <c r="H7" s="12">
        <f t="shared" si="0"/>
        <v>0.98</v>
      </c>
      <c r="I7" s="12">
        <f t="shared" si="0"/>
        <v>0.99</v>
      </c>
      <c r="J7" s="12">
        <f t="shared" si="0"/>
        <v>0.99</v>
      </c>
      <c r="K7" s="12">
        <f t="shared" si="0"/>
        <v>1</v>
      </c>
      <c r="L7" s="12">
        <f t="shared" si="0"/>
        <v>1</v>
      </c>
      <c r="M7" s="12">
        <f t="shared" si="0"/>
        <v>0.995</v>
      </c>
      <c r="N7" s="12">
        <f t="shared" si="0"/>
        <v>0.98499999999999999</v>
      </c>
      <c r="O7" s="12">
        <f t="shared" si="0"/>
        <v>0.98249999999999993</v>
      </c>
      <c r="P7" s="12">
        <f t="shared" si="0"/>
        <v>0.98750000000000004</v>
      </c>
      <c r="Q7" s="12">
        <f t="shared" si="0"/>
        <v>0.98750000000000004</v>
      </c>
      <c r="R7" s="12">
        <f t="shared" si="0"/>
        <v>0.98249999999999993</v>
      </c>
      <c r="S7" s="12">
        <f t="shared" si="0"/>
        <v>0.98499999999999999</v>
      </c>
      <c r="T7" s="13">
        <f t="shared" si="0"/>
        <v>0.995</v>
      </c>
      <c r="U7" s="14"/>
      <c r="V7" s="11">
        <f t="shared" si="0"/>
        <v>2.5</v>
      </c>
      <c r="W7" s="7"/>
      <c r="X7" s="12">
        <f t="shared" si="0"/>
        <v>1</v>
      </c>
      <c r="Y7" s="12">
        <f t="shared" si="0"/>
        <v>0.99</v>
      </c>
      <c r="Z7" s="12">
        <f t="shared" si="0"/>
        <v>0.99</v>
      </c>
      <c r="AA7" s="12">
        <f t="shared" si="0"/>
        <v>0.98499999999999999</v>
      </c>
      <c r="AB7" s="12">
        <f t="shared" si="0"/>
        <v>0.98499999999999999</v>
      </c>
      <c r="AC7" s="12">
        <f t="shared" si="0"/>
        <v>0.98</v>
      </c>
      <c r="AD7" s="12">
        <f t="shared" si="0"/>
        <v>0.98</v>
      </c>
      <c r="AE7" s="12">
        <f t="shared" si="0"/>
        <v>0.98</v>
      </c>
      <c r="AF7" s="12">
        <f t="shared" si="0"/>
        <v>0.98</v>
      </c>
      <c r="AG7" s="12">
        <f t="shared" si="0"/>
        <v>0.98</v>
      </c>
      <c r="AH7" s="12">
        <f t="shared" si="0"/>
        <v>0.98249999999999993</v>
      </c>
      <c r="AI7" s="12">
        <f t="shared" si="0"/>
        <v>0.98750000000000004</v>
      </c>
      <c r="AJ7" s="12">
        <f t="shared" si="0"/>
        <v>0.995</v>
      </c>
      <c r="AK7" s="12">
        <f t="shared" si="0"/>
        <v>0.995</v>
      </c>
      <c r="AL7" s="12">
        <f t="shared" si="0"/>
        <v>0.98750000000000004</v>
      </c>
      <c r="AM7" s="12">
        <f t="shared" si="0"/>
        <v>0.98249999999999993</v>
      </c>
      <c r="AN7" s="12">
        <f t="shared" si="0"/>
        <v>0.98</v>
      </c>
      <c r="AQ7" s="191">
        <v>22.5</v>
      </c>
      <c r="AR7" s="191" t="s">
        <v>437</v>
      </c>
    </row>
    <row r="8" spans="2:44">
      <c r="B8" s="7">
        <v>5</v>
      </c>
      <c r="C8" s="8" t="s">
        <v>35</v>
      </c>
      <c r="D8" s="9" t="s">
        <v>38</v>
      </c>
      <c r="E8" s="9" t="s">
        <v>39</v>
      </c>
      <c r="F8" s="9" t="s">
        <v>39</v>
      </c>
      <c r="G8" s="9" t="s">
        <v>40</v>
      </c>
      <c r="H8" s="9" t="s">
        <v>40</v>
      </c>
      <c r="I8" s="9" t="s">
        <v>38</v>
      </c>
      <c r="J8" s="9" t="s">
        <v>38</v>
      </c>
      <c r="K8" s="9" t="s">
        <v>36</v>
      </c>
      <c r="L8" s="9" t="str">
        <f t="shared" ref="L8:L42" si="1">K8</f>
        <v>1,00</v>
      </c>
      <c r="M8" s="9">
        <f t="shared" ref="M8:M42" si="2">0.5*(K8+I8)</f>
        <v>0.99</v>
      </c>
      <c r="N8" s="9">
        <f t="shared" ref="N8:N42" si="3">0.5*(I8+G8)</f>
        <v>0.97</v>
      </c>
      <c r="O8" s="9">
        <f t="shared" ref="O8:O42" si="4">0.5*(G8+E8)</f>
        <v>0.96499999999999997</v>
      </c>
      <c r="P8" s="9">
        <f t="shared" ref="P8:P42" si="5">0.5*(E8+D8)</f>
        <v>0.97499999999999998</v>
      </c>
      <c r="Q8" s="9">
        <f t="shared" ref="Q8:Q42" si="6">0.5*(D8+F8)</f>
        <v>0.97499999999999998</v>
      </c>
      <c r="R8" s="9">
        <f t="shared" ref="R8:R42" si="7">0.5*(F8+H8)</f>
        <v>0.96499999999999997</v>
      </c>
      <c r="S8" s="9">
        <f t="shared" ref="S8:S42" si="8">0.5*(H8+J8)</f>
        <v>0.97</v>
      </c>
      <c r="T8" s="10">
        <f t="shared" ref="T8:T42" si="9">0.5*(J8+L8)</f>
        <v>0.99</v>
      </c>
      <c r="U8" s="2"/>
      <c r="V8" s="11">
        <v>5</v>
      </c>
      <c r="W8" s="8" t="s">
        <v>37</v>
      </c>
      <c r="X8" s="9" t="s">
        <v>36</v>
      </c>
      <c r="Y8" s="9" t="s">
        <v>38</v>
      </c>
      <c r="Z8" s="9" t="s">
        <v>38</v>
      </c>
      <c r="AA8" s="9" t="s">
        <v>39</v>
      </c>
      <c r="AB8" s="9" t="s">
        <v>39</v>
      </c>
      <c r="AC8" s="9" t="s">
        <v>40</v>
      </c>
      <c r="AD8" s="9" t="s">
        <v>40</v>
      </c>
      <c r="AE8" s="9" t="s">
        <v>40</v>
      </c>
      <c r="AF8" s="9" t="str">
        <f t="shared" ref="AF8:AF42" si="10">AE8</f>
        <v>0,96</v>
      </c>
      <c r="AG8" s="9">
        <f t="shared" ref="AG8:AG42" si="11">0.5*(AE8+AC8)</f>
        <v>0.96</v>
      </c>
      <c r="AH8" s="9">
        <f t="shared" ref="AH8:AH42" si="12">0.5*(AC8+AA8)</f>
        <v>0.96499999999999997</v>
      </c>
      <c r="AI8" s="9">
        <f t="shared" ref="AI8:AI42" si="13">0.5*(AA8+Y8)</f>
        <v>0.97499999999999998</v>
      </c>
      <c r="AJ8" s="9">
        <f t="shared" ref="AJ8:AJ42" si="14">0.5*(Y8+X8)</f>
        <v>0.99</v>
      </c>
      <c r="AK8" s="9">
        <f t="shared" ref="AK8:AK42" si="15">0.5*(X8+Z8)</f>
        <v>0.99</v>
      </c>
      <c r="AL8" s="9">
        <f t="shared" ref="AL8:AL42" si="16">0.5*(Z8+AB8)</f>
        <v>0.97499999999999998</v>
      </c>
      <c r="AM8" s="9">
        <f t="shared" ref="AM8:AM42" si="17">0.5*(AB8+AD8)</f>
        <v>0.96499999999999997</v>
      </c>
      <c r="AN8" s="9">
        <f t="shared" ref="AN8:AN42" si="18">0.5*(AD8+AF8)</f>
        <v>0.96</v>
      </c>
      <c r="AQ8" s="191">
        <v>45</v>
      </c>
      <c r="AR8" s="191" t="s">
        <v>400</v>
      </c>
    </row>
    <row r="9" spans="2:44">
      <c r="B9" s="7">
        <f>0.5*(B8+B10)</f>
        <v>7.5</v>
      </c>
      <c r="C9" s="7"/>
      <c r="D9" s="12">
        <f t="shared" ref="D9:AN9" si="19">0.5*(D8+D10)</f>
        <v>0.97</v>
      </c>
      <c r="E9" s="12">
        <f t="shared" si="19"/>
        <v>0.96</v>
      </c>
      <c r="F9" s="12">
        <f t="shared" si="19"/>
        <v>0.96</v>
      </c>
      <c r="G9" s="12">
        <f t="shared" si="19"/>
        <v>0.94500000000000006</v>
      </c>
      <c r="H9" s="12">
        <f t="shared" si="19"/>
        <v>0.94500000000000006</v>
      </c>
      <c r="I9" s="12">
        <f t="shared" si="19"/>
        <v>0.96499999999999997</v>
      </c>
      <c r="J9" s="12">
        <f t="shared" si="19"/>
        <v>0.96499999999999997</v>
      </c>
      <c r="K9" s="12">
        <f t="shared" si="19"/>
        <v>1</v>
      </c>
      <c r="L9" s="12">
        <f t="shared" si="19"/>
        <v>1</v>
      </c>
      <c r="M9" s="12">
        <f t="shared" si="19"/>
        <v>0.98249999999999993</v>
      </c>
      <c r="N9" s="12">
        <f t="shared" si="19"/>
        <v>0.95499999999999996</v>
      </c>
      <c r="O9" s="12">
        <f t="shared" si="19"/>
        <v>0.9524999999999999</v>
      </c>
      <c r="P9" s="12">
        <f t="shared" si="19"/>
        <v>0.96499999999999997</v>
      </c>
      <c r="Q9" s="12">
        <f t="shared" si="19"/>
        <v>0.96499999999999997</v>
      </c>
      <c r="R9" s="12">
        <f t="shared" si="19"/>
        <v>0.9524999999999999</v>
      </c>
      <c r="S9" s="12">
        <f t="shared" si="19"/>
        <v>0.95499999999999996</v>
      </c>
      <c r="T9" s="13">
        <f t="shared" si="19"/>
        <v>0.98249999999999993</v>
      </c>
      <c r="U9" s="14"/>
      <c r="V9" s="11">
        <f t="shared" si="19"/>
        <v>7.5</v>
      </c>
      <c r="W9" s="7"/>
      <c r="X9" s="12">
        <f t="shared" si="19"/>
        <v>1</v>
      </c>
      <c r="Y9" s="12">
        <f t="shared" si="19"/>
        <v>0.97499999999999998</v>
      </c>
      <c r="Z9" s="12">
        <f t="shared" si="19"/>
        <v>0.97499999999999998</v>
      </c>
      <c r="AA9" s="12">
        <f t="shared" si="19"/>
        <v>0.95499999999999996</v>
      </c>
      <c r="AB9" s="12">
        <f t="shared" si="19"/>
        <v>0.95499999999999996</v>
      </c>
      <c r="AC9" s="12">
        <f t="shared" si="19"/>
        <v>0.94</v>
      </c>
      <c r="AD9" s="12">
        <f t="shared" si="19"/>
        <v>0.94</v>
      </c>
      <c r="AE9" s="12">
        <f t="shared" si="19"/>
        <v>0.94</v>
      </c>
      <c r="AF9" s="12">
        <f t="shared" si="19"/>
        <v>0.94</v>
      </c>
      <c r="AG9" s="12">
        <f t="shared" si="19"/>
        <v>0.94</v>
      </c>
      <c r="AH9" s="12">
        <f t="shared" si="19"/>
        <v>0.94750000000000001</v>
      </c>
      <c r="AI9" s="12">
        <f t="shared" si="19"/>
        <v>0.96499999999999997</v>
      </c>
      <c r="AJ9" s="12">
        <f t="shared" si="19"/>
        <v>0.98750000000000004</v>
      </c>
      <c r="AK9" s="12">
        <f t="shared" si="19"/>
        <v>0.98750000000000004</v>
      </c>
      <c r="AL9" s="12">
        <f t="shared" si="19"/>
        <v>0.96499999999999997</v>
      </c>
      <c r="AM9" s="12">
        <f t="shared" si="19"/>
        <v>0.94750000000000001</v>
      </c>
      <c r="AN9" s="12">
        <f t="shared" si="19"/>
        <v>0.94</v>
      </c>
      <c r="AQ9" s="191">
        <v>67.5</v>
      </c>
      <c r="AR9" s="191" t="s">
        <v>438</v>
      </c>
    </row>
    <row r="10" spans="2:44">
      <c r="B10" s="7">
        <v>10</v>
      </c>
      <c r="C10" s="8" t="s">
        <v>35</v>
      </c>
      <c r="D10" s="9" t="s">
        <v>40</v>
      </c>
      <c r="E10" s="9" t="s">
        <v>41</v>
      </c>
      <c r="F10" s="9" t="s">
        <v>41</v>
      </c>
      <c r="G10" s="9" t="s">
        <v>42</v>
      </c>
      <c r="H10" s="9" t="s">
        <v>42</v>
      </c>
      <c r="I10" s="9" t="s">
        <v>41</v>
      </c>
      <c r="J10" s="9" t="s">
        <v>41</v>
      </c>
      <c r="K10" s="9" t="s">
        <v>36</v>
      </c>
      <c r="L10" s="9" t="str">
        <f t="shared" si="1"/>
        <v>1,00</v>
      </c>
      <c r="M10" s="9">
        <f t="shared" si="2"/>
        <v>0.97499999999999998</v>
      </c>
      <c r="N10" s="9">
        <f t="shared" si="3"/>
        <v>0.94</v>
      </c>
      <c r="O10" s="9">
        <f t="shared" si="4"/>
        <v>0.94</v>
      </c>
      <c r="P10" s="9">
        <f t="shared" si="5"/>
        <v>0.95499999999999996</v>
      </c>
      <c r="Q10" s="9">
        <f>0.5*(D10+F10)</f>
        <v>0.95499999999999996</v>
      </c>
      <c r="R10" s="9">
        <f t="shared" si="7"/>
        <v>0.94</v>
      </c>
      <c r="S10" s="9">
        <f t="shared" si="8"/>
        <v>0.94</v>
      </c>
      <c r="T10" s="10">
        <f t="shared" si="9"/>
        <v>0.97499999999999998</v>
      </c>
      <c r="U10" s="2"/>
      <c r="V10" s="11">
        <v>10</v>
      </c>
      <c r="W10" s="8" t="s">
        <v>37</v>
      </c>
      <c r="X10" s="9" t="s">
        <v>36</v>
      </c>
      <c r="Y10" s="9" t="s">
        <v>39</v>
      </c>
      <c r="Z10" s="9" t="s">
        <v>39</v>
      </c>
      <c r="AA10" s="9" t="s">
        <v>43</v>
      </c>
      <c r="AB10" s="9" t="s">
        <v>43</v>
      </c>
      <c r="AC10" s="9" t="s">
        <v>44</v>
      </c>
      <c r="AD10" s="9" t="s">
        <v>44</v>
      </c>
      <c r="AE10" s="9" t="s">
        <v>44</v>
      </c>
      <c r="AF10" s="9" t="str">
        <f t="shared" si="10"/>
        <v>0,92</v>
      </c>
      <c r="AG10" s="9">
        <f t="shared" si="11"/>
        <v>0.92</v>
      </c>
      <c r="AH10" s="9">
        <f t="shared" si="12"/>
        <v>0.92999999999999994</v>
      </c>
      <c r="AI10" s="9">
        <f t="shared" si="13"/>
        <v>0.95499999999999996</v>
      </c>
      <c r="AJ10" s="9">
        <f t="shared" si="14"/>
        <v>0.98499999999999999</v>
      </c>
      <c r="AK10" s="9">
        <f t="shared" si="15"/>
        <v>0.98499999999999999</v>
      </c>
      <c r="AL10" s="9">
        <f t="shared" si="16"/>
        <v>0.95499999999999996</v>
      </c>
      <c r="AM10" s="9">
        <f t="shared" si="17"/>
        <v>0.92999999999999994</v>
      </c>
      <c r="AN10" s="9">
        <f t="shared" si="18"/>
        <v>0.92</v>
      </c>
      <c r="AQ10" s="191">
        <v>90</v>
      </c>
      <c r="AR10" s="191" t="s">
        <v>397</v>
      </c>
    </row>
    <row r="11" spans="2:44">
      <c r="B11" s="7">
        <f>0.5*(B10+B12)</f>
        <v>12.5</v>
      </c>
      <c r="C11" s="7"/>
      <c r="D11" s="12">
        <f t="shared" ref="D11:AN11" si="20">0.5*(D10+D12)</f>
        <v>0.93500000000000005</v>
      </c>
      <c r="E11" s="12">
        <f t="shared" si="20"/>
        <v>0.91999999999999993</v>
      </c>
      <c r="F11" s="12">
        <f t="shared" si="20"/>
        <v>0.91999999999999993</v>
      </c>
      <c r="G11" s="12">
        <f t="shared" si="20"/>
        <v>0.89500000000000002</v>
      </c>
      <c r="H11" s="12">
        <f t="shared" si="20"/>
        <v>0.89500000000000002</v>
      </c>
      <c r="I11" s="12">
        <f t="shared" si="20"/>
        <v>0.93500000000000005</v>
      </c>
      <c r="J11" s="12">
        <f t="shared" si="20"/>
        <v>0.93500000000000005</v>
      </c>
      <c r="K11" s="12">
        <f t="shared" si="20"/>
        <v>1</v>
      </c>
      <c r="L11" s="12">
        <f t="shared" si="20"/>
        <v>1</v>
      </c>
      <c r="M11" s="12">
        <f t="shared" si="20"/>
        <v>0.96750000000000003</v>
      </c>
      <c r="N11" s="12">
        <f t="shared" si="20"/>
        <v>0.91500000000000004</v>
      </c>
      <c r="O11" s="12">
        <f t="shared" si="20"/>
        <v>0.90749999999999997</v>
      </c>
      <c r="P11" s="12">
        <f t="shared" si="20"/>
        <v>0.92749999999999999</v>
      </c>
      <c r="Q11" s="12">
        <f t="shared" si="20"/>
        <v>0.92749999999999999</v>
      </c>
      <c r="R11" s="12">
        <f t="shared" si="20"/>
        <v>0.90749999999999997</v>
      </c>
      <c r="S11" s="12">
        <f t="shared" si="20"/>
        <v>0.91500000000000004</v>
      </c>
      <c r="T11" s="13">
        <f t="shared" si="20"/>
        <v>0.96750000000000003</v>
      </c>
      <c r="U11" s="14"/>
      <c r="V11" s="11">
        <f t="shared" si="20"/>
        <v>12.5</v>
      </c>
      <c r="W11" s="7"/>
      <c r="X11" s="12">
        <f t="shared" si="20"/>
        <v>1</v>
      </c>
      <c r="Y11" s="12">
        <f t="shared" si="20"/>
        <v>0.95499999999999996</v>
      </c>
      <c r="Z11" s="12">
        <f t="shared" si="20"/>
        <v>0.95499999999999996</v>
      </c>
      <c r="AA11" s="12">
        <f t="shared" si="20"/>
        <v>0.91999999999999993</v>
      </c>
      <c r="AB11" s="12">
        <f t="shared" si="20"/>
        <v>0.91999999999999993</v>
      </c>
      <c r="AC11" s="12">
        <f t="shared" si="20"/>
        <v>0.9</v>
      </c>
      <c r="AD11" s="12">
        <f t="shared" si="20"/>
        <v>0.9</v>
      </c>
      <c r="AE11" s="12">
        <f t="shared" si="20"/>
        <v>0.91</v>
      </c>
      <c r="AF11" s="12">
        <f t="shared" si="20"/>
        <v>0.91</v>
      </c>
      <c r="AG11" s="12">
        <f t="shared" si="20"/>
        <v>0.90500000000000003</v>
      </c>
      <c r="AH11" s="12">
        <f t="shared" si="20"/>
        <v>0.90999999999999992</v>
      </c>
      <c r="AI11" s="12">
        <f t="shared" si="20"/>
        <v>0.9375</v>
      </c>
      <c r="AJ11" s="12">
        <f t="shared" si="20"/>
        <v>0.97750000000000004</v>
      </c>
      <c r="AK11" s="12">
        <f t="shared" si="20"/>
        <v>0.97750000000000004</v>
      </c>
      <c r="AL11" s="12">
        <f t="shared" si="20"/>
        <v>0.9375</v>
      </c>
      <c r="AM11" s="12">
        <f t="shared" si="20"/>
        <v>0.90999999999999992</v>
      </c>
      <c r="AN11" s="12">
        <f t="shared" si="20"/>
        <v>0.90500000000000003</v>
      </c>
      <c r="AQ11" s="191">
        <v>112.5</v>
      </c>
      <c r="AR11" s="191" t="s">
        <v>439</v>
      </c>
    </row>
    <row r="12" spans="2:44">
      <c r="B12" s="7">
        <v>15</v>
      </c>
      <c r="C12" s="8" t="s">
        <v>35</v>
      </c>
      <c r="D12" s="9" t="s">
        <v>45</v>
      </c>
      <c r="E12" s="9" t="s">
        <v>46</v>
      </c>
      <c r="F12" s="9" t="s">
        <v>46</v>
      </c>
      <c r="G12" s="9" t="s">
        <v>47</v>
      </c>
      <c r="H12" s="9" t="s">
        <v>47</v>
      </c>
      <c r="I12" s="9" t="s">
        <v>44</v>
      </c>
      <c r="J12" s="9" t="s">
        <v>44</v>
      </c>
      <c r="K12" s="9" t="s">
        <v>36</v>
      </c>
      <c r="L12" s="9" t="str">
        <f t="shared" si="1"/>
        <v>1,00</v>
      </c>
      <c r="M12" s="9">
        <f t="shared" si="2"/>
        <v>0.96</v>
      </c>
      <c r="N12" s="9">
        <f t="shared" si="3"/>
        <v>0.89</v>
      </c>
      <c r="O12" s="9">
        <f t="shared" si="4"/>
        <v>0.875</v>
      </c>
      <c r="P12" s="9">
        <f t="shared" si="5"/>
        <v>0.9</v>
      </c>
      <c r="Q12" s="9">
        <f t="shared" si="6"/>
        <v>0.9</v>
      </c>
      <c r="R12" s="9">
        <f t="shared" si="7"/>
        <v>0.875</v>
      </c>
      <c r="S12" s="9">
        <f t="shared" si="8"/>
        <v>0.89</v>
      </c>
      <c r="T12" s="10">
        <f t="shared" si="9"/>
        <v>0.96</v>
      </c>
      <c r="U12" s="2"/>
      <c r="V12" s="11">
        <v>15</v>
      </c>
      <c r="W12" s="8" t="s">
        <v>37</v>
      </c>
      <c r="X12" s="9" t="s">
        <v>36</v>
      </c>
      <c r="Y12" s="9" t="s">
        <v>43</v>
      </c>
      <c r="Z12" s="9" t="s">
        <v>43</v>
      </c>
      <c r="AA12" s="9" t="s">
        <v>48</v>
      </c>
      <c r="AB12" s="9" t="s">
        <v>48</v>
      </c>
      <c r="AC12" s="9" t="s">
        <v>49</v>
      </c>
      <c r="AD12" s="9" t="s">
        <v>49</v>
      </c>
      <c r="AE12" s="9" t="s">
        <v>48</v>
      </c>
      <c r="AF12" s="9" t="str">
        <f t="shared" si="10"/>
        <v>0,90</v>
      </c>
      <c r="AG12" s="9">
        <f t="shared" si="11"/>
        <v>0.89</v>
      </c>
      <c r="AH12" s="9">
        <f t="shared" si="12"/>
        <v>0.89</v>
      </c>
      <c r="AI12" s="9">
        <f t="shared" si="13"/>
        <v>0.91999999999999993</v>
      </c>
      <c r="AJ12" s="9">
        <f t="shared" si="14"/>
        <v>0.97</v>
      </c>
      <c r="AK12" s="9">
        <f t="shared" si="15"/>
        <v>0.97</v>
      </c>
      <c r="AL12" s="9">
        <f t="shared" si="16"/>
        <v>0.91999999999999993</v>
      </c>
      <c r="AM12" s="9">
        <f t="shared" si="17"/>
        <v>0.89</v>
      </c>
      <c r="AN12" s="9">
        <f t="shared" si="18"/>
        <v>0.89</v>
      </c>
      <c r="AQ12" s="191">
        <v>135</v>
      </c>
      <c r="AR12" s="191" t="s">
        <v>401</v>
      </c>
    </row>
    <row r="13" spans="2:44">
      <c r="B13" s="7">
        <f>0.5*(B12+B14)</f>
        <v>17.5</v>
      </c>
      <c r="C13" s="7"/>
      <c r="D13" s="12">
        <f t="shared" ref="D13:AN13" si="21">0.5*(D12+D14)</f>
        <v>0.88500000000000001</v>
      </c>
      <c r="E13" s="12">
        <f t="shared" si="21"/>
        <v>0.86499999999999999</v>
      </c>
      <c r="F13" s="12">
        <f t="shared" si="21"/>
        <v>0.86499999999999999</v>
      </c>
      <c r="G13" s="12">
        <f t="shared" si="21"/>
        <v>0.83000000000000007</v>
      </c>
      <c r="H13" s="12">
        <f t="shared" si="21"/>
        <v>0.83000000000000007</v>
      </c>
      <c r="I13" s="12">
        <f t="shared" si="21"/>
        <v>0.90500000000000003</v>
      </c>
      <c r="J13" s="12">
        <f t="shared" si="21"/>
        <v>0.90500000000000003</v>
      </c>
      <c r="K13" s="12">
        <f t="shared" si="21"/>
        <v>1</v>
      </c>
      <c r="L13" s="12">
        <f t="shared" si="21"/>
        <v>1</v>
      </c>
      <c r="M13" s="12">
        <f t="shared" si="21"/>
        <v>0.95250000000000001</v>
      </c>
      <c r="N13" s="12">
        <f t="shared" si="21"/>
        <v>0.86749999999999994</v>
      </c>
      <c r="O13" s="12">
        <f t="shared" si="21"/>
        <v>0.84750000000000003</v>
      </c>
      <c r="P13" s="12">
        <f t="shared" si="21"/>
        <v>0.875</v>
      </c>
      <c r="Q13" s="12">
        <f t="shared" si="21"/>
        <v>0.875</v>
      </c>
      <c r="R13" s="12">
        <f t="shared" si="21"/>
        <v>0.84750000000000003</v>
      </c>
      <c r="S13" s="12">
        <f t="shared" si="21"/>
        <v>0.86749999999999994</v>
      </c>
      <c r="T13" s="13">
        <f t="shared" si="21"/>
        <v>0.95250000000000001</v>
      </c>
      <c r="U13" s="14"/>
      <c r="V13" s="11">
        <f t="shared" si="21"/>
        <v>17.5</v>
      </c>
      <c r="W13" s="7"/>
      <c r="X13" s="12">
        <f t="shared" si="21"/>
        <v>1</v>
      </c>
      <c r="Y13" s="12">
        <f t="shared" si="21"/>
        <v>0.92999999999999994</v>
      </c>
      <c r="Z13" s="12">
        <f t="shared" si="21"/>
        <v>0.92999999999999994</v>
      </c>
      <c r="AA13" s="12">
        <f t="shared" si="21"/>
        <v>0.88</v>
      </c>
      <c r="AB13" s="12">
        <f t="shared" si="21"/>
        <v>0.88</v>
      </c>
      <c r="AC13" s="12">
        <f t="shared" si="21"/>
        <v>0.86</v>
      </c>
      <c r="AD13" s="12">
        <f t="shared" si="21"/>
        <v>0.86</v>
      </c>
      <c r="AE13" s="12">
        <f t="shared" si="21"/>
        <v>0.88500000000000001</v>
      </c>
      <c r="AF13" s="12">
        <f t="shared" si="21"/>
        <v>0.88500000000000001</v>
      </c>
      <c r="AG13" s="12">
        <f t="shared" si="21"/>
        <v>0.87250000000000005</v>
      </c>
      <c r="AH13" s="12">
        <f t="shared" si="21"/>
        <v>0.87</v>
      </c>
      <c r="AI13" s="12">
        <f t="shared" si="21"/>
        <v>0.90500000000000003</v>
      </c>
      <c r="AJ13" s="12">
        <f t="shared" si="21"/>
        <v>0.96499999999999997</v>
      </c>
      <c r="AK13" s="12">
        <f t="shared" si="21"/>
        <v>0.96499999999999997</v>
      </c>
      <c r="AL13" s="12">
        <f t="shared" si="21"/>
        <v>0.90500000000000003</v>
      </c>
      <c r="AM13" s="12">
        <f t="shared" si="21"/>
        <v>0.87</v>
      </c>
      <c r="AN13" s="12">
        <f t="shared" si="21"/>
        <v>0.87250000000000005</v>
      </c>
      <c r="AQ13" s="191">
        <v>157.5</v>
      </c>
      <c r="AR13" s="191" t="s">
        <v>440</v>
      </c>
    </row>
    <row r="14" spans="2:44">
      <c r="B14" s="7">
        <v>20</v>
      </c>
      <c r="C14" s="8" t="s">
        <v>35</v>
      </c>
      <c r="D14" s="9" t="s">
        <v>47</v>
      </c>
      <c r="E14" s="9" t="s">
        <v>50</v>
      </c>
      <c r="F14" s="9" t="s">
        <v>50</v>
      </c>
      <c r="G14" s="9" t="s">
        <v>51</v>
      </c>
      <c r="H14" s="9" t="s">
        <v>51</v>
      </c>
      <c r="I14" s="9" t="s">
        <v>46</v>
      </c>
      <c r="J14" s="9" t="s">
        <v>46</v>
      </c>
      <c r="K14" s="9" t="s">
        <v>36</v>
      </c>
      <c r="L14" s="9" t="str">
        <f t="shared" si="1"/>
        <v>1,00</v>
      </c>
      <c r="M14" s="9">
        <f t="shared" si="2"/>
        <v>0.94500000000000006</v>
      </c>
      <c r="N14" s="9">
        <f t="shared" si="3"/>
        <v>0.84499999999999997</v>
      </c>
      <c r="O14" s="9">
        <f t="shared" si="4"/>
        <v>0.82000000000000006</v>
      </c>
      <c r="P14" s="9">
        <f t="shared" si="5"/>
        <v>0.85</v>
      </c>
      <c r="Q14" s="9">
        <f t="shared" si="6"/>
        <v>0.85</v>
      </c>
      <c r="R14" s="9">
        <f t="shared" si="7"/>
        <v>0.82000000000000006</v>
      </c>
      <c r="S14" s="9">
        <f t="shared" si="8"/>
        <v>0.84499999999999997</v>
      </c>
      <c r="T14" s="10">
        <f t="shared" si="9"/>
        <v>0.94500000000000006</v>
      </c>
      <c r="U14" s="2"/>
      <c r="V14" s="11">
        <v>20</v>
      </c>
      <c r="W14" s="8" t="s">
        <v>37</v>
      </c>
      <c r="X14" s="9" t="s">
        <v>36</v>
      </c>
      <c r="Y14" s="9" t="s">
        <v>44</v>
      </c>
      <c r="Z14" s="9" t="s">
        <v>44</v>
      </c>
      <c r="AA14" s="9" t="s">
        <v>47</v>
      </c>
      <c r="AB14" s="9" t="s">
        <v>47</v>
      </c>
      <c r="AC14" s="9" t="s">
        <v>50</v>
      </c>
      <c r="AD14" s="9" t="s">
        <v>50</v>
      </c>
      <c r="AE14" s="9" t="s">
        <v>52</v>
      </c>
      <c r="AF14" s="9" t="str">
        <f t="shared" si="10"/>
        <v>0,87</v>
      </c>
      <c r="AG14" s="9">
        <f t="shared" si="11"/>
        <v>0.85499999999999998</v>
      </c>
      <c r="AH14" s="9">
        <f t="shared" si="12"/>
        <v>0.85</v>
      </c>
      <c r="AI14" s="9">
        <f t="shared" si="13"/>
        <v>0.89</v>
      </c>
      <c r="AJ14" s="9">
        <f t="shared" si="14"/>
        <v>0.96</v>
      </c>
      <c r="AK14" s="9">
        <f t="shared" si="15"/>
        <v>0.96</v>
      </c>
      <c r="AL14" s="9">
        <f t="shared" si="16"/>
        <v>0.89</v>
      </c>
      <c r="AM14" s="9">
        <f t="shared" si="17"/>
        <v>0.85</v>
      </c>
      <c r="AN14" s="9">
        <f t="shared" si="18"/>
        <v>0.85499999999999998</v>
      </c>
      <c r="AQ14" s="191">
        <v>180</v>
      </c>
      <c r="AR14" s="191" t="s">
        <v>398</v>
      </c>
    </row>
    <row r="15" spans="2:44">
      <c r="B15" s="7">
        <f>0.5*(B14+B16)</f>
        <v>22.5</v>
      </c>
      <c r="C15" s="7"/>
      <c r="D15" s="12">
        <f t="shared" ref="D15:AN15" si="22">0.5*(D14+D16)</f>
        <v>0.79499999999999993</v>
      </c>
      <c r="E15" s="12">
        <f t="shared" si="22"/>
        <v>0.78499999999999992</v>
      </c>
      <c r="F15" s="12">
        <f t="shared" si="22"/>
        <v>0.78499999999999992</v>
      </c>
      <c r="G15" s="12">
        <f t="shared" si="22"/>
        <v>0.76</v>
      </c>
      <c r="H15" s="12">
        <f t="shared" si="22"/>
        <v>0.76</v>
      </c>
      <c r="I15" s="12">
        <f t="shared" si="22"/>
        <v>0.88</v>
      </c>
      <c r="J15" s="12">
        <f t="shared" si="22"/>
        <v>0.88</v>
      </c>
      <c r="K15" s="12">
        <f t="shared" si="22"/>
        <v>1</v>
      </c>
      <c r="L15" s="12">
        <f t="shared" si="22"/>
        <v>1</v>
      </c>
      <c r="M15" s="12">
        <f t="shared" si="22"/>
        <v>0.94000000000000006</v>
      </c>
      <c r="N15" s="12">
        <f t="shared" si="22"/>
        <v>0.82</v>
      </c>
      <c r="O15" s="12">
        <f t="shared" si="22"/>
        <v>0.77249999999999996</v>
      </c>
      <c r="P15" s="12">
        <f t="shared" si="22"/>
        <v>0.79</v>
      </c>
      <c r="Q15" s="12">
        <f t="shared" si="22"/>
        <v>0.79</v>
      </c>
      <c r="R15" s="12">
        <f t="shared" si="22"/>
        <v>0.77249999999999996</v>
      </c>
      <c r="S15" s="12">
        <f t="shared" si="22"/>
        <v>0.82</v>
      </c>
      <c r="T15" s="13">
        <f t="shared" si="22"/>
        <v>0.94000000000000006</v>
      </c>
      <c r="U15" s="14"/>
      <c r="V15" s="11">
        <f t="shared" si="22"/>
        <v>22.5</v>
      </c>
      <c r="W15" s="7"/>
      <c r="X15" s="12">
        <f t="shared" si="22"/>
        <v>1</v>
      </c>
      <c r="Y15" s="12">
        <f t="shared" si="22"/>
        <v>0.91</v>
      </c>
      <c r="Z15" s="12">
        <f t="shared" si="22"/>
        <v>0.91</v>
      </c>
      <c r="AA15" s="12">
        <f t="shared" si="22"/>
        <v>0.84499999999999997</v>
      </c>
      <c r="AB15" s="12">
        <f t="shared" si="22"/>
        <v>0.84499999999999997</v>
      </c>
      <c r="AC15" s="12">
        <f t="shared" si="22"/>
        <v>0.83</v>
      </c>
      <c r="AD15" s="12">
        <f t="shared" si="22"/>
        <v>0.83</v>
      </c>
      <c r="AE15" s="12">
        <f t="shared" si="22"/>
        <v>0.87</v>
      </c>
      <c r="AF15" s="12">
        <f t="shared" si="22"/>
        <v>0.87</v>
      </c>
      <c r="AG15" s="12">
        <f t="shared" si="22"/>
        <v>0.85</v>
      </c>
      <c r="AH15" s="12">
        <f t="shared" si="22"/>
        <v>0.83749999999999991</v>
      </c>
      <c r="AI15" s="12">
        <f t="shared" si="22"/>
        <v>0.87749999999999995</v>
      </c>
      <c r="AJ15" s="12">
        <f t="shared" si="22"/>
        <v>0.95499999999999996</v>
      </c>
      <c r="AK15" s="12">
        <f t="shared" si="22"/>
        <v>0.95499999999999996</v>
      </c>
      <c r="AL15" s="12">
        <f t="shared" si="22"/>
        <v>0.87749999999999995</v>
      </c>
      <c r="AM15" s="12">
        <f t="shared" si="22"/>
        <v>0.83749999999999991</v>
      </c>
      <c r="AN15" s="12">
        <f t="shared" si="22"/>
        <v>0.85</v>
      </c>
      <c r="AQ15" s="191">
        <v>202.5</v>
      </c>
      <c r="AR15" s="191" t="s">
        <v>441</v>
      </c>
    </row>
    <row r="16" spans="2:44">
      <c r="B16" s="7">
        <v>25</v>
      </c>
      <c r="C16" s="8" t="s">
        <v>35</v>
      </c>
      <c r="D16" s="9" t="s">
        <v>53</v>
      </c>
      <c r="E16" s="9" t="s">
        <v>53</v>
      </c>
      <c r="F16" s="9" t="s">
        <v>53</v>
      </c>
      <c r="G16" s="9" t="s">
        <v>54</v>
      </c>
      <c r="H16" s="9" t="s">
        <v>54</v>
      </c>
      <c r="I16" s="9" t="s">
        <v>52</v>
      </c>
      <c r="J16" s="9" t="s">
        <v>52</v>
      </c>
      <c r="K16" s="9" t="s">
        <v>36</v>
      </c>
      <c r="L16" s="9" t="str">
        <f t="shared" si="1"/>
        <v>1,00</v>
      </c>
      <c r="M16" s="9">
        <f t="shared" si="2"/>
        <v>0.93500000000000005</v>
      </c>
      <c r="N16" s="9">
        <f t="shared" si="3"/>
        <v>0.79499999999999993</v>
      </c>
      <c r="O16" s="9">
        <f t="shared" si="4"/>
        <v>0.72499999999999998</v>
      </c>
      <c r="P16" s="9">
        <f t="shared" si="5"/>
        <v>0.73</v>
      </c>
      <c r="Q16" s="9">
        <f t="shared" si="6"/>
        <v>0.73</v>
      </c>
      <c r="R16" s="9">
        <f t="shared" si="7"/>
        <v>0.72499999999999998</v>
      </c>
      <c r="S16" s="9">
        <f t="shared" si="8"/>
        <v>0.79499999999999993</v>
      </c>
      <c r="T16" s="10">
        <f t="shared" si="9"/>
        <v>0.93500000000000005</v>
      </c>
      <c r="U16" s="2"/>
      <c r="V16" s="11">
        <v>25</v>
      </c>
      <c r="W16" s="8" t="s">
        <v>37</v>
      </c>
      <c r="X16" s="9" t="s">
        <v>36</v>
      </c>
      <c r="Y16" s="9" t="s">
        <v>48</v>
      </c>
      <c r="Z16" s="9" t="s">
        <v>48</v>
      </c>
      <c r="AA16" s="9" t="s">
        <v>55</v>
      </c>
      <c r="AB16" s="9" t="s">
        <v>55</v>
      </c>
      <c r="AC16" s="9" t="s">
        <v>56</v>
      </c>
      <c r="AD16" s="9" t="s">
        <v>56</v>
      </c>
      <c r="AE16" s="9" t="s">
        <v>52</v>
      </c>
      <c r="AF16" s="9" t="str">
        <f t="shared" si="10"/>
        <v>0,87</v>
      </c>
      <c r="AG16" s="9">
        <f t="shared" si="11"/>
        <v>0.84499999999999997</v>
      </c>
      <c r="AH16" s="9">
        <f t="shared" si="12"/>
        <v>0.82499999999999996</v>
      </c>
      <c r="AI16" s="9">
        <f t="shared" si="13"/>
        <v>0.86499999999999999</v>
      </c>
      <c r="AJ16" s="9">
        <f t="shared" si="14"/>
        <v>0.95</v>
      </c>
      <c r="AK16" s="9">
        <f t="shared" si="15"/>
        <v>0.95</v>
      </c>
      <c r="AL16" s="9">
        <f t="shared" si="16"/>
        <v>0.86499999999999999</v>
      </c>
      <c r="AM16" s="9">
        <f t="shared" si="17"/>
        <v>0.82499999999999996</v>
      </c>
      <c r="AN16" s="9">
        <f t="shared" si="18"/>
        <v>0.84499999999999997</v>
      </c>
      <c r="AQ16" s="191">
        <v>225</v>
      </c>
      <c r="AR16" s="191" t="s">
        <v>402</v>
      </c>
    </row>
    <row r="17" spans="2:44">
      <c r="B17" s="7">
        <f>0.5*(B16+B18)</f>
        <v>27.5</v>
      </c>
      <c r="C17" s="7"/>
      <c r="D17" s="12">
        <f t="shared" ref="D17:AN17" si="23">0.5*(D16+D18)</f>
        <v>0.66999999999999993</v>
      </c>
      <c r="E17" s="12">
        <f t="shared" si="23"/>
        <v>0.67500000000000004</v>
      </c>
      <c r="F17" s="12">
        <f t="shared" si="23"/>
        <v>0.67500000000000004</v>
      </c>
      <c r="G17" s="12">
        <f t="shared" si="23"/>
        <v>0.68500000000000005</v>
      </c>
      <c r="H17" s="12">
        <f t="shared" si="23"/>
        <v>0.68500000000000005</v>
      </c>
      <c r="I17" s="12">
        <f t="shared" si="23"/>
        <v>0.86</v>
      </c>
      <c r="J17" s="12">
        <f t="shared" si="23"/>
        <v>0.86</v>
      </c>
      <c r="K17" s="12">
        <f t="shared" si="23"/>
        <v>1</v>
      </c>
      <c r="L17" s="12">
        <f t="shared" si="23"/>
        <v>1</v>
      </c>
      <c r="M17" s="12">
        <f t="shared" si="23"/>
        <v>0.93</v>
      </c>
      <c r="N17" s="12">
        <f t="shared" si="23"/>
        <v>0.77249999999999996</v>
      </c>
      <c r="O17" s="12">
        <f t="shared" si="23"/>
        <v>0.67999999999999994</v>
      </c>
      <c r="P17" s="12">
        <f t="shared" si="23"/>
        <v>0.67249999999999999</v>
      </c>
      <c r="Q17" s="12">
        <f t="shared" si="23"/>
        <v>0.67249999999999999</v>
      </c>
      <c r="R17" s="12">
        <f t="shared" si="23"/>
        <v>0.67999999999999994</v>
      </c>
      <c r="S17" s="12">
        <f t="shared" si="23"/>
        <v>0.77249999999999996</v>
      </c>
      <c r="T17" s="13">
        <f t="shared" si="23"/>
        <v>0.93</v>
      </c>
      <c r="U17" s="14"/>
      <c r="V17" s="11">
        <f t="shared" si="23"/>
        <v>27.5</v>
      </c>
      <c r="W17" s="7"/>
      <c r="X17" s="12">
        <f t="shared" si="23"/>
        <v>1</v>
      </c>
      <c r="Y17" s="12">
        <f t="shared" si="23"/>
        <v>0.89500000000000002</v>
      </c>
      <c r="Z17" s="12">
        <f t="shared" si="23"/>
        <v>0.89500000000000002</v>
      </c>
      <c r="AA17" s="12">
        <f t="shared" si="23"/>
        <v>0.82000000000000006</v>
      </c>
      <c r="AB17" s="12">
        <f t="shared" si="23"/>
        <v>0.82000000000000006</v>
      </c>
      <c r="AC17" s="12">
        <f t="shared" si="23"/>
        <v>0.81499999999999995</v>
      </c>
      <c r="AD17" s="12">
        <f t="shared" si="23"/>
        <v>0.81499999999999995</v>
      </c>
      <c r="AE17" s="12">
        <f t="shared" si="23"/>
        <v>0.86499999999999999</v>
      </c>
      <c r="AF17" s="12">
        <f t="shared" si="23"/>
        <v>0.86499999999999999</v>
      </c>
      <c r="AG17" s="12">
        <f t="shared" si="23"/>
        <v>0.84</v>
      </c>
      <c r="AH17" s="12">
        <f t="shared" si="23"/>
        <v>0.8175</v>
      </c>
      <c r="AI17" s="12">
        <f t="shared" si="23"/>
        <v>0.85750000000000004</v>
      </c>
      <c r="AJ17" s="12">
        <f t="shared" si="23"/>
        <v>0.94750000000000001</v>
      </c>
      <c r="AK17" s="12">
        <f t="shared" si="23"/>
        <v>0.94750000000000001</v>
      </c>
      <c r="AL17" s="12">
        <f t="shared" si="23"/>
        <v>0.85750000000000004</v>
      </c>
      <c r="AM17" s="12">
        <f t="shared" si="23"/>
        <v>0.8175</v>
      </c>
      <c r="AN17" s="12">
        <f t="shared" si="23"/>
        <v>0.84</v>
      </c>
      <c r="AQ17" s="191">
        <v>247.5</v>
      </c>
      <c r="AR17" s="191" t="s">
        <v>442</v>
      </c>
    </row>
    <row r="18" spans="2:44">
      <c r="B18" s="7">
        <v>30</v>
      </c>
      <c r="C18" s="8" t="s">
        <v>35</v>
      </c>
      <c r="D18" s="9" t="s">
        <v>57</v>
      </c>
      <c r="E18" s="9" t="s">
        <v>58</v>
      </c>
      <c r="F18" s="9" t="s">
        <v>58</v>
      </c>
      <c r="G18" s="9" t="s">
        <v>59</v>
      </c>
      <c r="H18" s="9" t="s">
        <v>59</v>
      </c>
      <c r="I18" s="9" t="s">
        <v>60</v>
      </c>
      <c r="J18" s="9" t="s">
        <v>60</v>
      </c>
      <c r="K18" s="9" t="s">
        <v>36</v>
      </c>
      <c r="L18" s="9" t="str">
        <f t="shared" si="1"/>
        <v>1,00</v>
      </c>
      <c r="M18" s="9">
        <f t="shared" si="2"/>
        <v>0.92500000000000004</v>
      </c>
      <c r="N18" s="9">
        <f t="shared" si="3"/>
        <v>0.75</v>
      </c>
      <c r="O18" s="9">
        <f t="shared" si="4"/>
        <v>0.63500000000000001</v>
      </c>
      <c r="P18" s="9">
        <f t="shared" si="5"/>
        <v>0.61499999999999999</v>
      </c>
      <c r="Q18" s="9">
        <f t="shared" si="6"/>
        <v>0.61499999999999999</v>
      </c>
      <c r="R18" s="9">
        <f t="shared" si="7"/>
        <v>0.63500000000000001</v>
      </c>
      <c r="S18" s="9">
        <f t="shared" si="8"/>
        <v>0.75</v>
      </c>
      <c r="T18" s="10">
        <f t="shared" si="9"/>
        <v>0.92500000000000004</v>
      </c>
      <c r="U18" s="2"/>
      <c r="V18" s="11">
        <v>30</v>
      </c>
      <c r="W18" s="8" t="s">
        <v>37</v>
      </c>
      <c r="X18" s="9" t="s">
        <v>36</v>
      </c>
      <c r="Y18" s="9" t="s">
        <v>46</v>
      </c>
      <c r="Z18" s="9" t="s">
        <v>46</v>
      </c>
      <c r="AA18" s="9" t="s">
        <v>61</v>
      </c>
      <c r="AB18" s="9" t="s">
        <v>61</v>
      </c>
      <c r="AC18" s="9" t="s">
        <v>61</v>
      </c>
      <c r="AD18" s="9" t="s">
        <v>61</v>
      </c>
      <c r="AE18" s="9" t="s">
        <v>47</v>
      </c>
      <c r="AF18" s="9" t="str">
        <f t="shared" si="10"/>
        <v>0,86</v>
      </c>
      <c r="AG18" s="9">
        <f t="shared" si="11"/>
        <v>0.83499999999999996</v>
      </c>
      <c r="AH18" s="9">
        <f t="shared" si="12"/>
        <v>0.81</v>
      </c>
      <c r="AI18" s="9">
        <f t="shared" si="13"/>
        <v>0.85000000000000009</v>
      </c>
      <c r="AJ18" s="9">
        <f t="shared" si="14"/>
        <v>0.94500000000000006</v>
      </c>
      <c r="AK18" s="9">
        <f t="shared" si="15"/>
        <v>0.94500000000000006</v>
      </c>
      <c r="AL18" s="9">
        <f t="shared" si="16"/>
        <v>0.85000000000000009</v>
      </c>
      <c r="AM18" s="9">
        <f t="shared" si="17"/>
        <v>0.81</v>
      </c>
      <c r="AN18" s="9">
        <f t="shared" si="18"/>
        <v>0.83499999999999996</v>
      </c>
      <c r="AQ18" s="191">
        <v>270</v>
      </c>
      <c r="AR18" s="191" t="s">
        <v>399</v>
      </c>
    </row>
    <row r="19" spans="2:44">
      <c r="B19" s="7">
        <f>0.5*(B18+B20)</f>
        <v>32.5</v>
      </c>
      <c r="C19" s="7"/>
      <c r="D19" s="12">
        <f t="shared" ref="D19:AN19" si="24">0.5*(D18+D20)</f>
        <v>0.57000000000000006</v>
      </c>
      <c r="E19" s="12">
        <f t="shared" si="24"/>
        <v>0.58000000000000007</v>
      </c>
      <c r="F19" s="12">
        <f t="shared" si="24"/>
        <v>0.58000000000000007</v>
      </c>
      <c r="G19" s="12">
        <f t="shared" si="24"/>
        <v>0.63</v>
      </c>
      <c r="H19" s="12">
        <f t="shared" si="24"/>
        <v>0.63</v>
      </c>
      <c r="I19" s="12">
        <f t="shared" si="24"/>
        <v>0.84499999999999997</v>
      </c>
      <c r="J19" s="12">
        <f t="shared" si="24"/>
        <v>0.84499999999999997</v>
      </c>
      <c r="K19" s="12">
        <f t="shared" si="24"/>
        <v>1</v>
      </c>
      <c r="L19" s="12">
        <f t="shared" si="24"/>
        <v>1</v>
      </c>
      <c r="M19" s="12">
        <f t="shared" si="24"/>
        <v>0.92249999999999999</v>
      </c>
      <c r="N19" s="12">
        <f t="shared" si="24"/>
        <v>0.73750000000000004</v>
      </c>
      <c r="O19" s="12">
        <f t="shared" si="24"/>
        <v>0.60499999999999998</v>
      </c>
      <c r="P19" s="12">
        <f t="shared" si="24"/>
        <v>0.57499999999999996</v>
      </c>
      <c r="Q19" s="12">
        <f t="shared" si="24"/>
        <v>0.57499999999999996</v>
      </c>
      <c r="R19" s="12">
        <f t="shared" si="24"/>
        <v>0.60499999999999998</v>
      </c>
      <c r="S19" s="12">
        <f t="shared" si="24"/>
        <v>0.73750000000000004</v>
      </c>
      <c r="T19" s="13">
        <f t="shared" si="24"/>
        <v>0.92249999999999999</v>
      </c>
      <c r="U19" s="14"/>
      <c r="V19" s="11">
        <f t="shared" si="24"/>
        <v>32.5</v>
      </c>
      <c r="W19" s="7"/>
      <c r="X19" s="12">
        <f t="shared" si="24"/>
        <v>0.995</v>
      </c>
      <c r="Y19" s="12">
        <f t="shared" si="24"/>
        <v>0.87</v>
      </c>
      <c r="Z19" s="12">
        <f t="shared" si="24"/>
        <v>0.87</v>
      </c>
      <c r="AA19" s="12">
        <f t="shared" si="24"/>
        <v>0.79</v>
      </c>
      <c r="AB19" s="12">
        <f t="shared" si="24"/>
        <v>0.79</v>
      </c>
      <c r="AC19" s="12">
        <f t="shared" si="24"/>
        <v>0.79</v>
      </c>
      <c r="AD19" s="12">
        <f t="shared" si="24"/>
        <v>0.79</v>
      </c>
      <c r="AE19" s="12">
        <f t="shared" si="24"/>
        <v>0.86</v>
      </c>
      <c r="AF19" s="12">
        <f t="shared" si="24"/>
        <v>0.86</v>
      </c>
      <c r="AG19" s="12">
        <f t="shared" si="24"/>
        <v>0.82499999999999996</v>
      </c>
      <c r="AH19" s="12">
        <f t="shared" si="24"/>
        <v>0.79</v>
      </c>
      <c r="AI19" s="12">
        <f t="shared" si="24"/>
        <v>0.83000000000000007</v>
      </c>
      <c r="AJ19" s="12">
        <f t="shared" si="24"/>
        <v>0.9325</v>
      </c>
      <c r="AK19" s="12">
        <f t="shared" si="24"/>
        <v>0.9325</v>
      </c>
      <c r="AL19" s="12">
        <f t="shared" si="24"/>
        <v>0.83000000000000007</v>
      </c>
      <c r="AM19" s="12">
        <f t="shared" si="24"/>
        <v>0.79</v>
      </c>
      <c r="AN19" s="12">
        <f t="shared" si="24"/>
        <v>0.82499999999999996</v>
      </c>
      <c r="AQ19" s="191">
        <v>292.5</v>
      </c>
      <c r="AR19" s="191" t="s">
        <v>443</v>
      </c>
    </row>
    <row r="20" spans="2:44">
      <c r="B20" s="7">
        <v>35</v>
      </c>
      <c r="C20" s="8" t="s">
        <v>35</v>
      </c>
      <c r="D20" s="9" t="s">
        <v>62</v>
      </c>
      <c r="E20" s="9" t="s">
        <v>63</v>
      </c>
      <c r="F20" s="9" t="s">
        <v>63</v>
      </c>
      <c r="G20" s="9" t="s">
        <v>57</v>
      </c>
      <c r="H20" s="9" t="s">
        <v>57</v>
      </c>
      <c r="I20" s="9" t="s">
        <v>50</v>
      </c>
      <c r="J20" s="9" t="s">
        <v>50</v>
      </c>
      <c r="K20" s="9" t="s">
        <v>36</v>
      </c>
      <c r="L20" s="9" t="str">
        <f t="shared" si="1"/>
        <v>1,00</v>
      </c>
      <c r="M20" s="9">
        <f t="shared" si="2"/>
        <v>0.91999999999999993</v>
      </c>
      <c r="N20" s="9">
        <f t="shared" si="3"/>
        <v>0.72499999999999998</v>
      </c>
      <c r="O20" s="9">
        <f t="shared" si="4"/>
        <v>0.57499999999999996</v>
      </c>
      <c r="P20" s="9">
        <f t="shared" si="5"/>
        <v>0.53500000000000003</v>
      </c>
      <c r="Q20" s="9">
        <f t="shared" si="6"/>
        <v>0.53500000000000003</v>
      </c>
      <c r="R20" s="9">
        <f t="shared" si="7"/>
        <v>0.57499999999999996</v>
      </c>
      <c r="S20" s="9">
        <f t="shared" si="8"/>
        <v>0.72499999999999998</v>
      </c>
      <c r="T20" s="10">
        <f t="shared" si="9"/>
        <v>0.91999999999999993</v>
      </c>
      <c r="U20" s="2"/>
      <c r="V20" s="11">
        <v>35</v>
      </c>
      <c r="W20" s="8" t="s">
        <v>37</v>
      </c>
      <c r="X20" s="9" t="s">
        <v>64</v>
      </c>
      <c r="Y20" s="9" t="s">
        <v>60</v>
      </c>
      <c r="Z20" s="9" t="s">
        <v>60</v>
      </c>
      <c r="AA20" s="9" t="s">
        <v>65</v>
      </c>
      <c r="AB20" s="9" t="s">
        <v>65</v>
      </c>
      <c r="AC20" s="9" t="s">
        <v>65</v>
      </c>
      <c r="AD20" s="9" t="s">
        <v>65</v>
      </c>
      <c r="AE20" s="9" t="s">
        <v>47</v>
      </c>
      <c r="AF20" s="9" t="str">
        <f t="shared" si="10"/>
        <v>0,86</v>
      </c>
      <c r="AG20" s="9">
        <f t="shared" si="11"/>
        <v>0.81499999999999995</v>
      </c>
      <c r="AH20" s="9">
        <f t="shared" si="12"/>
        <v>0.77</v>
      </c>
      <c r="AI20" s="9">
        <f t="shared" si="13"/>
        <v>0.81</v>
      </c>
      <c r="AJ20" s="9">
        <f t="shared" si="14"/>
        <v>0.91999999999999993</v>
      </c>
      <c r="AK20" s="9">
        <f t="shared" si="15"/>
        <v>0.91999999999999993</v>
      </c>
      <c r="AL20" s="9">
        <f t="shared" si="16"/>
        <v>0.81</v>
      </c>
      <c r="AM20" s="9">
        <f t="shared" si="17"/>
        <v>0.77</v>
      </c>
      <c r="AN20" s="9">
        <f t="shared" si="18"/>
        <v>0.81499999999999995</v>
      </c>
      <c r="AQ20" s="191">
        <v>315</v>
      </c>
      <c r="AR20" s="191" t="s">
        <v>403</v>
      </c>
    </row>
    <row r="21" spans="2:44">
      <c r="B21" s="7">
        <f>0.5*(B20+B22)</f>
        <v>37.5</v>
      </c>
      <c r="C21" s="7"/>
      <c r="D21" s="12">
        <f t="shared" ref="D21:AN21" si="25">0.5*(D20+D22)</f>
        <v>0.48499999999999999</v>
      </c>
      <c r="E21" s="12">
        <f t="shared" si="25"/>
        <v>0.505</v>
      </c>
      <c r="F21" s="12">
        <f t="shared" si="25"/>
        <v>0.505</v>
      </c>
      <c r="G21" s="12">
        <f t="shared" si="25"/>
        <v>0.59</v>
      </c>
      <c r="H21" s="12">
        <f t="shared" si="25"/>
        <v>0.59</v>
      </c>
      <c r="I21" s="12">
        <f t="shared" si="25"/>
        <v>0.83499999999999996</v>
      </c>
      <c r="J21" s="12">
        <f t="shared" si="25"/>
        <v>0.83499999999999996</v>
      </c>
      <c r="K21" s="12">
        <f t="shared" si="25"/>
        <v>1</v>
      </c>
      <c r="L21" s="12">
        <f t="shared" si="25"/>
        <v>1</v>
      </c>
      <c r="M21" s="12">
        <f t="shared" si="25"/>
        <v>0.91749999999999998</v>
      </c>
      <c r="N21" s="12">
        <f t="shared" si="25"/>
        <v>0.71249999999999991</v>
      </c>
      <c r="O21" s="12">
        <f t="shared" si="25"/>
        <v>0.54749999999999999</v>
      </c>
      <c r="P21" s="12">
        <f t="shared" si="25"/>
        <v>0.495</v>
      </c>
      <c r="Q21" s="12">
        <f t="shared" si="25"/>
        <v>0.495</v>
      </c>
      <c r="R21" s="12">
        <f t="shared" si="25"/>
        <v>0.54749999999999999</v>
      </c>
      <c r="S21" s="12">
        <f t="shared" si="25"/>
        <v>0.71249999999999991</v>
      </c>
      <c r="T21" s="13">
        <f t="shared" si="25"/>
        <v>0.91749999999999998</v>
      </c>
      <c r="U21" s="14"/>
      <c r="V21" s="11">
        <f t="shared" si="25"/>
        <v>37.5</v>
      </c>
      <c r="W21" s="7"/>
      <c r="X21" s="12">
        <f t="shared" si="25"/>
        <v>0.98499999999999999</v>
      </c>
      <c r="Y21" s="12">
        <f t="shared" si="25"/>
        <v>0.83499999999999996</v>
      </c>
      <c r="Z21" s="12">
        <f t="shared" si="25"/>
        <v>0.83499999999999996</v>
      </c>
      <c r="AA21" s="12">
        <f t="shared" si="25"/>
        <v>0.745</v>
      </c>
      <c r="AB21" s="12">
        <f t="shared" si="25"/>
        <v>0.745</v>
      </c>
      <c r="AC21" s="12">
        <f t="shared" si="25"/>
        <v>0.75</v>
      </c>
      <c r="AD21" s="12">
        <f t="shared" si="25"/>
        <v>0.75</v>
      </c>
      <c r="AE21" s="12">
        <f t="shared" si="25"/>
        <v>0.85499999999999998</v>
      </c>
      <c r="AF21" s="12">
        <f t="shared" si="25"/>
        <v>0.85499999999999998</v>
      </c>
      <c r="AG21" s="12">
        <f t="shared" si="25"/>
        <v>0.80249999999999999</v>
      </c>
      <c r="AH21" s="12">
        <f t="shared" si="25"/>
        <v>0.74750000000000005</v>
      </c>
      <c r="AI21" s="12">
        <f t="shared" si="25"/>
        <v>0.79</v>
      </c>
      <c r="AJ21" s="12">
        <f t="shared" si="25"/>
        <v>0.90999999999999992</v>
      </c>
      <c r="AK21" s="12">
        <f t="shared" si="25"/>
        <v>0.90999999999999992</v>
      </c>
      <c r="AL21" s="12">
        <f t="shared" si="25"/>
        <v>0.79</v>
      </c>
      <c r="AM21" s="12">
        <f t="shared" si="25"/>
        <v>0.74750000000000005</v>
      </c>
      <c r="AN21" s="12">
        <f t="shared" si="25"/>
        <v>0.80249999999999999</v>
      </c>
      <c r="AQ21" s="191">
        <v>337.5</v>
      </c>
      <c r="AR21" s="191" t="s">
        <v>444</v>
      </c>
    </row>
    <row r="22" spans="2:44">
      <c r="B22" s="7">
        <v>40</v>
      </c>
      <c r="C22" s="8" t="s">
        <v>35</v>
      </c>
      <c r="D22" s="9" t="s">
        <v>66</v>
      </c>
      <c r="E22" s="9" t="s">
        <v>67</v>
      </c>
      <c r="F22" s="9" t="s">
        <v>67</v>
      </c>
      <c r="G22" s="9" t="s">
        <v>68</v>
      </c>
      <c r="H22" s="9" t="s">
        <v>68</v>
      </c>
      <c r="I22" s="9" t="s">
        <v>55</v>
      </c>
      <c r="J22" s="9" t="s">
        <v>55</v>
      </c>
      <c r="K22" s="9" t="s">
        <v>36</v>
      </c>
      <c r="L22" s="9" t="str">
        <f t="shared" si="1"/>
        <v>1,00</v>
      </c>
      <c r="M22" s="9">
        <f t="shared" si="2"/>
        <v>0.91500000000000004</v>
      </c>
      <c r="N22" s="9">
        <f t="shared" si="3"/>
        <v>0.7</v>
      </c>
      <c r="O22" s="9">
        <f t="shared" si="4"/>
        <v>0.52</v>
      </c>
      <c r="P22" s="9">
        <f t="shared" si="5"/>
        <v>0.45499999999999996</v>
      </c>
      <c r="Q22" s="9">
        <f t="shared" si="6"/>
        <v>0.45499999999999996</v>
      </c>
      <c r="R22" s="9">
        <f t="shared" si="7"/>
        <v>0.52</v>
      </c>
      <c r="S22" s="9">
        <f t="shared" si="8"/>
        <v>0.7</v>
      </c>
      <c r="T22" s="10">
        <f t="shared" si="9"/>
        <v>0.91500000000000004</v>
      </c>
      <c r="U22" s="2"/>
      <c r="V22" s="11">
        <v>40</v>
      </c>
      <c r="W22" s="8" t="s">
        <v>37</v>
      </c>
      <c r="X22" s="9" t="s">
        <v>38</v>
      </c>
      <c r="Y22" s="9" t="s">
        <v>56</v>
      </c>
      <c r="Z22" s="9" t="s">
        <v>56</v>
      </c>
      <c r="AA22" s="9" t="s">
        <v>54</v>
      </c>
      <c r="AB22" s="9" t="s">
        <v>54</v>
      </c>
      <c r="AC22" s="9" t="s">
        <v>53</v>
      </c>
      <c r="AD22" s="9" t="s">
        <v>53</v>
      </c>
      <c r="AE22" s="9" t="s">
        <v>60</v>
      </c>
      <c r="AF22" s="9" t="str">
        <f t="shared" si="10"/>
        <v>0,85</v>
      </c>
      <c r="AG22" s="9">
        <f t="shared" si="11"/>
        <v>0.79</v>
      </c>
      <c r="AH22" s="9">
        <f t="shared" si="12"/>
        <v>0.72499999999999998</v>
      </c>
      <c r="AI22" s="9">
        <f t="shared" si="13"/>
        <v>0.77</v>
      </c>
      <c r="AJ22" s="9">
        <f t="shared" si="14"/>
        <v>0.89999999999999991</v>
      </c>
      <c r="AK22" s="9">
        <f t="shared" si="15"/>
        <v>0.89999999999999991</v>
      </c>
      <c r="AL22" s="9">
        <f t="shared" si="16"/>
        <v>0.77</v>
      </c>
      <c r="AM22" s="9">
        <f t="shared" si="17"/>
        <v>0.72499999999999998</v>
      </c>
      <c r="AN22" s="9">
        <f t="shared" si="18"/>
        <v>0.79</v>
      </c>
      <c r="AQ22" s="191">
        <v>360</v>
      </c>
      <c r="AR22" s="191" t="s">
        <v>396</v>
      </c>
    </row>
    <row r="23" spans="2:44">
      <c r="B23" s="7">
        <f>0.5*(B22+B24)</f>
        <v>42.5</v>
      </c>
      <c r="C23" s="7"/>
      <c r="D23" s="12">
        <f t="shared" ref="D23:AN23" si="26">0.5*(D22+D24)</f>
        <v>0.42000000000000004</v>
      </c>
      <c r="E23" s="12">
        <f t="shared" si="26"/>
        <v>0.45499999999999996</v>
      </c>
      <c r="F23" s="12">
        <f t="shared" si="26"/>
        <v>0.45499999999999996</v>
      </c>
      <c r="G23" s="12">
        <f t="shared" si="26"/>
        <v>0.56000000000000005</v>
      </c>
      <c r="H23" s="12">
        <f t="shared" si="26"/>
        <v>0.56000000000000005</v>
      </c>
      <c r="I23" s="12">
        <f t="shared" si="26"/>
        <v>0.82499999999999996</v>
      </c>
      <c r="J23" s="12">
        <f t="shared" si="26"/>
        <v>0.82499999999999996</v>
      </c>
      <c r="K23" s="12">
        <f t="shared" si="26"/>
        <v>1</v>
      </c>
      <c r="L23" s="12">
        <f t="shared" si="26"/>
        <v>1</v>
      </c>
      <c r="M23" s="12">
        <f t="shared" si="26"/>
        <v>0.91249999999999998</v>
      </c>
      <c r="N23" s="12">
        <f t="shared" si="26"/>
        <v>0.6925</v>
      </c>
      <c r="O23" s="12">
        <f t="shared" si="26"/>
        <v>0.50750000000000006</v>
      </c>
      <c r="P23" s="12">
        <f t="shared" si="26"/>
        <v>0.4375</v>
      </c>
      <c r="Q23" s="12">
        <f t="shared" si="26"/>
        <v>0.4375</v>
      </c>
      <c r="R23" s="12">
        <f t="shared" si="26"/>
        <v>0.50750000000000006</v>
      </c>
      <c r="S23" s="12">
        <f t="shared" si="26"/>
        <v>0.6925</v>
      </c>
      <c r="T23" s="13">
        <f t="shared" si="26"/>
        <v>0.91249999999999998</v>
      </c>
      <c r="U23" s="14"/>
      <c r="V23" s="11">
        <f t="shared" si="26"/>
        <v>42.5</v>
      </c>
      <c r="W23" s="7"/>
      <c r="X23" s="12">
        <f t="shared" si="26"/>
        <v>0.96499999999999997</v>
      </c>
      <c r="Y23" s="12">
        <f t="shared" si="26"/>
        <v>0.8</v>
      </c>
      <c r="Z23" s="12">
        <f t="shared" si="26"/>
        <v>0.8</v>
      </c>
      <c r="AA23" s="12">
        <f t="shared" si="26"/>
        <v>0.7</v>
      </c>
      <c r="AB23" s="12">
        <f t="shared" si="26"/>
        <v>0.7</v>
      </c>
      <c r="AC23" s="12">
        <f t="shared" si="26"/>
        <v>0.71499999999999997</v>
      </c>
      <c r="AD23" s="12">
        <f t="shared" si="26"/>
        <v>0.71499999999999997</v>
      </c>
      <c r="AE23" s="12">
        <f t="shared" si="26"/>
        <v>0.85</v>
      </c>
      <c r="AF23" s="12">
        <f t="shared" si="26"/>
        <v>0.85</v>
      </c>
      <c r="AG23" s="12">
        <f t="shared" si="26"/>
        <v>0.78249999999999997</v>
      </c>
      <c r="AH23" s="12">
        <f t="shared" si="26"/>
        <v>0.70750000000000002</v>
      </c>
      <c r="AI23" s="12">
        <f t="shared" si="26"/>
        <v>0.75</v>
      </c>
      <c r="AJ23" s="12">
        <f t="shared" si="26"/>
        <v>0.88249999999999995</v>
      </c>
      <c r="AK23" s="12">
        <f t="shared" si="26"/>
        <v>0.88249999999999995</v>
      </c>
      <c r="AL23" s="12">
        <f t="shared" si="26"/>
        <v>0.75</v>
      </c>
      <c r="AM23" s="12">
        <f t="shared" si="26"/>
        <v>0.70750000000000002</v>
      </c>
      <c r="AN23" s="12">
        <f t="shared" si="26"/>
        <v>0.78249999999999997</v>
      </c>
      <c r="AQ23" s="190"/>
      <c r="AR23" s="190"/>
    </row>
    <row r="24" spans="2:44">
      <c r="B24" s="7">
        <v>45</v>
      </c>
      <c r="C24" s="8" t="s">
        <v>35</v>
      </c>
      <c r="D24" s="9" t="s">
        <v>69</v>
      </c>
      <c r="E24" s="9" t="s">
        <v>66</v>
      </c>
      <c r="F24" s="9" t="s">
        <v>66</v>
      </c>
      <c r="G24" s="9" t="s">
        <v>70</v>
      </c>
      <c r="H24" s="9" t="s">
        <v>70</v>
      </c>
      <c r="I24" s="9" t="s">
        <v>56</v>
      </c>
      <c r="J24" s="9" t="s">
        <v>56</v>
      </c>
      <c r="K24" s="9" t="s">
        <v>36</v>
      </c>
      <c r="L24" s="9" t="str">
        <f t="shared" si="1"/>
        <v>1,00</v>
      </c>
      <c r="M24" s="9">
        <f t="shared" si="2"/>
        <v>0.90999999999999992</v>
      </c>
      <c r="N24" s="9">
        <f t="shared" si="3"/>
        <v>0.68500000000000005</v>
      </c>
      <c r="O24" s="9">
        <f t="shared" si="4"/>
        <v>0.495</v>
      </c>
      <c r="P24" s="9">
        <f t="shared" si="5"/>
        <v>0.42000000000000004</v>
      </c>
      <c r="Q24" s="9">
        <f t="shared" si="6"/>
        <v>0.42000000000000004</v>
      </c>
      <c r="R24" s="9">
        <f t="shared" si="7"/>
        <v>0.495</v>
      </c>
      <c r="S24" s="9">
        <f t="shared" si="8"/>
        <v>0.68500000000000005</v>
      </c>
      <c r="T24" s="10">
        <f t="shared" si="9"/>
        <v>0.90999999999999992</v>
      </c>
      <c r="U24" s="2"/>
      <c r="V24" s="11">
        <v>45</v>
      </c>
      <c r="W24" s="8" t="s">
        <v>37</v>
      </c>
      <c r="X24" s="9" t="s">
        <v>41</v>
      </c>
      <c r="Y24" s="9" t="s">
        <v>71</v>
      </c>
      <c r="Z24" s="9" t="s">
        <v>71</v>
      </c>
      <c r="AA24" s="9" t="s">
        <v>72</v>
      </c>
      <c r="AB24" s="9" t="s">
        <v>72</v>
      </c>
      <c r="AC24" s="9" t="s">
        <v>73</v>
      </c>
      <c r="AD24" s="9" t="s">
        <v>73</v>
      </c>
      <c r="AE24" s="9" t="s">
        <v>60</v>
      </c>
      <c r="AF24" s="9" t="str">
        <f t="shared" si="10"/>
        <v>0,85</v>
      </c>
      <c r="AG24" s="9">
        <f t="shared" si="11"/>
        <v>0.77499999999999991</v>
      </c>
      <c r="AH24" s="9">
        <f t="shared" si="12"/>
        <v>0.69</v>
      </c>
      <c r="AI24" s="9">
        <f t="shared" si="13"/>
        <v>0.73</v>
      </c>
      <c r="AJ24" s="9">
        <f t="shared" si="14"/>
        <v>0.86499999999999999</v>
      </c>
      <c r="AK24" s="9">
        <f t="shared" si="15"/>
        <v>0.86499999999999999</v>
      </c>
      <c r="AL24" s="9">
        <f t="shared" si="16"/>
        <v>0.73</v>
      </c>
      <c r="AM24" s="9">
        <f t="shared" si="17"/>
        <v>0.69</v>
      </c>
      <c r="AN24" s="9">
        <f t="shared" si="18"/>
        <v>0.77499999999999991</v>
      </c>
    </row>
    <row r="25" spans="2:44">
      <c r="B25" s="7">
        <f>0.5*(B24+B26)</f>
        <v>47.5</v>
      </c>
      <c r="C25" s="7"/>
      <c r="D25" s="12">
        <f t="shared" ref="D25:AN25" si="27">0.5*(D24+D26)</f>
        <v>0.38</v>
      </c>
      <c r="E25" s="12">
        <f t="shared" si="27"/>
        <v>0.42000000000000004</v>
      </c>
      <c r="F25" s="12">
        <f t="shared" si="27"/>
        <v>0.42000000000000004</v>
      </c>
      <c r="G25" s="12">
        <f t="shared" si="27"/>
        <v>0.54</v>
      </c>
      <c r="H25" s="12">
        <f t="shared" si="27"/>
        <v>0.54</v>
      </c>
      <c r="I25" s="12">
        <f t="shared" si="27"/>
        <v>0.81499999999999995</v>
      </c>
      <c r="J25" s="12">
        <f t="shared" si="27"/>
        <v>0.81499999999999995</v>
      </c>
      <c r="K25" s="12">
        <f t="shared" si="27"/>
        <v>1</v>
      </c>
      <c r="L25" s="12">
        <f t="shared" si="27"/>
        <v>1</v>
      </c>
      <c r="M25" s="12">
        <f t="shared" si="27"/>
        <v>0.90749999999999997</v>
      </c>
      <c r="N25" s="12">
        <f t="shared" si="27"/>
        <v>0.67749999999999999</v>
      </c>
      <c r="O25" s="12">
        <f t="shared" si="27"/>
        <v>0.48</v>
      </c>
      <c r="P25" s="12">
        <f t="shared" si="27"/>
        <v>0.4</v>
      </c>
      <c r="Q25" s="12">
        <f t="shared" si="27"/>
        <v>0.4</v>
      </c>
      <c r="R25" s="12">
        <f t="shared" si="27"/>
        <v>0.48</v>
      </c>
      <c r="S25" s="12">
        <f t="shared" si="27"/>
        <v>0.67749999999999999</v>
      </c>
      <c r="T25" s="13">
        <f t="shared" si="27"/>
        <v>0.90749999999999997</v>
      </c>
      <c r="U25" s="14"/>
      <c r="V25" s="11">
        <f t="shared" si="27"/>
        <v>47.5</v>
      </c>
      <c r="W25" s="7"/>
      <c r="X25" s="12">
        <f t="shared" si="27"/>
        <v>0.94</v>
      </c>
      <c r="Y25" s="12">
        <f t="shared" si="27"/>
        <v>0.76</v>
      </c>
      <c r="Z25" s="12">
        <f t="shared" si="27"/>
        <v>0.76</v>
      </c>
      <c r="AA25" s="12">
        <f t="shared" si="27"/>
        <v>0.65500000000000003</v>
      </c>
      <c r="AB25" s="12">
        <f t="shared" si="27"/>
        <v>0.65500000000000003</v>
      </c>
      <c r="AC25" s="12">
        <f t="shared" si="27"/>
        <v>0.68500000000000005</v>
      </c>
      <c r="AD25" s="12">
        <f t="shared" si="27"/>
        <v>0.68500000000000005</v>
      </c>
      <c r="AE25" s="12">
        <f t="shared" si="27"/>
        <v>0.85</v>
      </c>
      <c r="AF25" s="12">
        <f t="shared" si="27"/>
        <v>0.85</v>
      </c>
      <c r="AG25" s="12">
        <f t="shared" si="27"/>
        <v>0.76749999999999996</v>
      </c>
      <c r="AH25" s="12">
        <f t="shared" si="27"/>
        <v>0.66999999999999993</v>
      </c>
      <c r="AI25" s="12">
        <f t="shared" si="27"/>
        <v>0.70750000000000002</v>
      </c>
      <c r="AJ25" s="12">
        <f t="shared" si="27"/>
        <v>0.85</v>
      </c>
      <c r="AK25" s="12">
        <f t="shared" si="27"/>
        <v>0.85</v>
      </c>
      <c r="AL25" s="12">
        <f t="shared" si="27"/>
        <v>0.70750000000000002</v>
      </c>
      <c r="AM25" s="12">
        <f t="shared" si="27"/>
        <v>0.66999999999999993</v>
      </c>
      <c r="AN25" s="12">
        <f t="shared" si="27"/>
        <v>0.76749999999999996</v>
      </c>
    </row>
    <row r="26" spans="2:44">
      <c r="B26" s="7">
        <v>50</v>
      </c>
      <c r="C26" s="8" t="s">
        <v>35</v>
      </c>
      <c r="D26" s="9" t="s">
        <v>74</v>
      </c>
      <c r="E26" s="9" t="s">
        <v>69</v>
      </c>
      <c r="F26" s="9" t="s">
        <v>69</v>
      </c>
      <c r="G26" s="9" t="s">
        <v>62</v>
      </c>
      <c r="H26" s="9" t="s">
        <v>62</v>
      </c>
      <c r="I26" s="9" t="s">
        <v>61</v>
      </c>
      <c r="J26" s="9" t="s">
        <v>61</v>
      </c>
      <c r="K26" s="9" t="s">
        <v>36</v>
      </c>
      <c r="L26" s="9" t="str">
        <f t="shared" si="1"/>
        <v>1,00</v>
      </c>
      <c r="M26" s="9">
        <f t="shared" si="2"/>
        <v>0.90500000000000003</v>
      </c>
      <c r="N26" s="9">
        <f t="shared" si="3"/>
        <v>0.67</v>
      </c>
      <c r="O26" s="9">
        <f t="shared" si="4"/>
        <v>0.46500000000000002</v>
      </c>
      <c r="P26" s="9">
        <f t="shared" si="5"/>
        <v>0.38</v>
      </c>
      <c r="Q26" s="9">
        <f t="shared" si="6"/>
        <v>0.38</v>
      </c>
      <c r="R26" s="9">
        <f t="shared" si="7"/>
        <v>0.46500000000000002</v>
      </c>
      <c r="S26" s="9">
        <f t="shared" si="8"/>
        <v>0.67</v>
      </c>
      <c r="T26" s="10">
        <f t="shared" si="9"/>
        <v>0.90500000000000003</v>
      </c>
      <c r="U26" s="2"/>
      <c r="V26" s="11">
        <v>50</v>
      </c>
      <c r="W26" s="8" t="s">
        <v>37</v>
      </c>
      <c r="X26" s="9" t="s">
        <v>42</v>
      </c>
      <c r="Y26" s="9" t="s">
        <v>75</v>
      </c>
      <c r="Z26" s="9" t="s">
        <v>75</v>
      </c>
      <c r="AA26" s="9" t="s">
        <v>76</v>
      </c>
      <c r="AB26" s="9" t="s">
        <v>76</v>
      </c>
      <c r="AC26" s="9" t="s">
        <v>77</v>
      </c>
      <c r="AD26" s="9" t="s">
        <v>77</v>
      </c>
      <c r="AE26" s="9" t="s">
        <v>60</v>
      </c>
      <c r="AF26" s="9" t="str">
        <f t="shared" si="10"/>
        <v>0,85</v>
      </c>
      <c r="AG26" s="9">
        <f t="shared" si="11"/>
        <v>0.76</v>
      </c>
      <c r="AH26" s="9">
        <f t="shared" si="12"/>
        <v>0.65</v>
      </c>
      <c r="AI26" s="9">
        <f t="shared" si="13"/>
        <v>0.68500000000000005</v>
      </c>
      <c r="AJ26" s="9">
        <f t="shared" si="14"/>
        <v>0.83499999999999996</v>
      </c>
      <c r="AK26" s="9">
        <f t="shared" si="15"/>
        <v>0.83499999999999996</v>
      </c>
      <c r="AL26" s="9">
        <f t="shared" si="16"/>
        <v>0.68500000000000005</v>
      </c>
      <c r="AM26" s="9">
        <f t="shared" si="17"/>
        <v>0.65</v>
      </c>
      <c r="AN26" s="9">
        <f t="shared" si="18"/>
        <v>0.76</v>
      </c>
    </row>
    <row r="27" spans="2:44">
      <c r="B27" s="7">
        <f>0.5*(B26+B28)</f>
        <v>52.5</v>
      </c>
      <c r="C27" s="7"/>
      <c r="D27" s="12">
        <f t="shared" ref="D27:AN27" si="28">0.5*(D26+D28)</f>
        <v>0.35</v>
      </c>
      <c r="E27" s="12">
        <f t="shared" si="28"/>
        <v>0.39</v>
      </c>
      <c r="F27" s="12">
        <f t="shared" si="28"/>
        <v>0.39</v>
      </c>
      <c r="G27" s="12">
        <f t="shared" si="28"/>
        <v>0.52500000000000002</v>
      </c>
      <c r="H27" s="12">
        <f t="shared" si="28"/>
        <v>0.52500000000000002</v>
      </c>
      <c r="I27" s="12">
        <f t="shared" si="28"/>
        <v>0.81</v>
      </c>
      <c r="J27" s="12">
        <f t="shared" si="28"/>
        <v>0.81</v>
      </c>
      <c r="K27" s="12">
        <f t="shared" si="28"/>
        <v>1</v>
      </c>
      <c r="L27" s="12">
        <f t="shared" si="28"/>
        <v>1</v>
      </c>
      <c r="M27" s="12">
        <f t="shared" si="28"/>
        <v>0.90500000000000003</v>
      </c>
      <c r="N27" s="12">
        <f t="shared" si="28"/>
        <v>0.66749999999999998</v>
      </c>
      <c r="O27" s="12">
        <f t="shared" si="28"/>
        <v>0.45750000000000002</v>
      </c>
      <c r="P27" s="12">
        <f t="shared" si="28"/>
        <v>0.37</v>
      </c>
      <c r="Q27" s="12">
        <f t="shared" si="28"/>
        <v>0.37</v>
      </c>
      <c r="R27" s="12">
        <f t="shared" si="28"/>
        <v>0.45750000000000002</v>
      </c>
      <c r="S27" s="12">
        <f t="shared" si="28"/>
        <v>0.66749999999999998</v>
      </c>
      <c r="T27" s="13">
        <f t="shared" si="28"/>
        <v>0.90500000000000003</v>
      </c>
      <c r="U27" s="14"/>
      <c r="V27" s="11">
        <f t="shared" si="28"/>
        <v>52.5</v>
      </c>
      <c r="W27" s="7"/>
      <c r="X27" s="12">
        <f t="shared" si="28"/>
        <v>0.91</v>
      </c>
      <c r="Y27" s="12">
        <f t="shared" si="28"/>
        <v>0.72</v>
      </c>
      <c r="Z27" s="12">
        <f t="shared" si="28"/>
        <v>0.72</v>
      </c>
      <c r="AA27" s="12">
        <f t="shared" si="28"/>
        <v>0.61499999999999999</v>
      </c>
      <c r="AB27" s="12">
        <f t="shared" si="28"/>
        <v>0.61499999999999999</v>
      </c>
      <c r="AC27" s="12">
        <f t="shared" si="28"/>
        <v>0.66</v>
      </c>
      <c r="AD27" s="12">
        <f t="shared" si="28"/>
        <v>0.66</v>
      </c>
      <c r="AE27" s="12">
        <f t="shared" si="28"/>
        <v>0.85</v>
      </c>
      <c r="AF27" s="12">
        <f t="shared" si="28"/>
        <v>0.85</v>
      </c>
      <c r="AG27" s="12">
        <f t="shared" si="28"/>
        <v>0.755</v>
      </c>
      <c r="AH27" s="12">
        <f t="shared" si="28"/>
        <v>0.63749999999999996</v>
      </c>
      <c r="AI27" s="12">
        <f t="shared" si="28"/>
        <v>0.66749999999999998</v>
      </c>
      <c r="AJ27" s="12">
        <f t="shared" si="28"/>
        <v>0.81499999999999995</v>
      </c>
      <c r="AK27" s="12">
        <f t="shared" si="28"/>
        <v>0.81499999999999995</v>
      </c>
      <c r="AL27" s="12">
        <f t="shared" si="28"/>
        <v>0.66749999999999998</v>
      </c>
      <c r="AM27" s="12">
        <f t="shared" si="28"/>
        <v>0.63749999999999996</v>
      </c>
      <c r="AN27" s="12">
        <f t="shared" si="28"/>
        <v>0.755</v>
      </c>
    </row>
    <row r="28" spans="2:44">
      <c r="B28" s="7">
        <v>55</v>
      </c>
      <c r="C28" s="8" t="s">
        <v>35</v>
      </c>
      <c r="D28" s="9" t="s">
        <v>78</v>
      </c>
      <c r="E28" s="9" t="s">
        <v>79</v>
      </c>
      <c r="F28" s="9" t="s">
        <v>79</v>
      </c>
      <c r="G28" s="9" t="s">
        <v>80</v>
      </c>
      <c r="H28" s="9" t="s">
        <v>80</v>
      </c>
      <c r="I28" s="9" t="s">
        <v>61</v>
      </c>
      <c r="J28" s="9" t="s">
        <v>61</v>
      </c>
      <c r="K28" s="9" t="s">
        <v>36</v>
      </c>
      <c r="L28" s="9" t="str">
        <f t="shared" si="1"/>
        <v>1,00</v>
      </c>
      <c r="M28" s="9">
        <f t="shared" si="2"/>
        <v>0.90500000000000003</v>
      </c>
      <c r="N28" s="9">
        <f t="shared" si="3"/>
        <v>0.66500000000000004</v>
      </c>
      <c r="O28" s="9">
        <f t="shared" si="4"/>
        <v>0.45</v>
      </c>
      <c r="P28" s="9">
        <f t="shared" si="5"/>
        <v>0.36</v>
      </c>
      <c r="Q28" s="9">
        <f t="shared" si="6"/>
        <v>0.36</v>
      </c>
      <c r="R28" s="9">
        <f t="shared" si="7"/>
        <v>0.45</v>
      </c>
      <c r="S28" s="9">
        <f t="shared" si="8"/>
        <v>0.66500000000000004</v>
      </c>
      <c r="T28" s="10">
        <f t="shared" si="9"/>
        <v>0.90500000000000003</v>
      </c>
      <c r="U28" s="2"/>
      <c r="V28" s="11">
        <v>55</v>
      </c>
      <c r="W28" s="8" t="s">
        <v>37</v>
      </c>
      <c r="X28" s="9" t="s">
        <v>46</v>
      </c>
      <c r="Y28" s="9" t="s">
        <v>73</v>
      </c>
      <c r="Z28" s="9" t="s">
        <v>73</v>
      </c>
      <c r="AA28" s="9" t="s">
        <v>81</v>
      </c>
      <c r="AB28" s="9" t="s">
        <v>81</v>
      </c>
      <c r="AC28" s="9" t="s">
        <v>59</v>
      </c>
      <c r="AD28" s="9" t="s">
        <v>59</v>
      </c>
      <c r="AE28" s="9" t="s">
        <v>60</v>
      </c>
      <c r="AF28" s="9" t="str">
        <f t="shared" si="10"/>
        <v>0,85</v>
      </c>
      <c r="AG28" s="9">
        <f t="shared" si="11"/>
        <v>0.75</v>
      </c>
      <c r="AH28" s="9">
        <f t="shared" si="12"/>
        <v>0.625</v>
      </c>
      <c r="AI28" s="9">
        <f t="shared" si="13"/>
        <v>0.64999999999999991</v>
      </c>
      <c r="AJ28" s="9">
        <f t="shared" si="14"/>
        <v>0.79499999999999993</v>
      </c>
      <c r="AK28" s="9">
        <f t="shared" si="15"/>
        <v>0.79499999999999993</v>
      </c>
      <c r="AL28" s="9">
        <f t="shared" si="16"/>
        <v>0.64999999999999991</v>
      </c>
      <c r="AM28" s="9">
        <f t="shared" si="17"/>
        <v>0.625</v>
      </c>
      <c r="AN28" s="9">
        <f t="shared" si="18"/>
        <v>0.75</v>
      </c>
    </row>
    <row r="29" spans="2:44">
      <c r="B29" s="7">
        <f>0.5*(B28+B30)</f>
        <v>57.5</v>
      </c>
      <c r="C29" s="7"/>
      <c r="D29" s="12">
        <f t="shared" ref="D29:AN29" si="29">0.5*(D28+D30)</f>
        <v>0.33</v>
      </c>
      <c r="E29" s="12">
        <f t="shared" si="29"/>
        <v>0.375</v>
      </c>
      <c r="F29" s="12">
        <f t="shared" si="29"/>
        <v>0.375</v>
      </c>
      <c r="G29" s="12">
        <f t="shared" si="29"/>
        <v>0.51500000000000001</v>
      </c>
      <c r="H29" s="12">
        <f t="shared" si="29"/>
        <v>0.51500000000000001</v>
      </c>
      <c r="I29" s="12">
        <f t="shared" si="29"/>
        <v>0.81</v>
      </c>
      <c r="J29" s="12">
        <f t="shared" si="29"/>
        <v>0.81</v>
      </c>
      <c r="K29" s="12">
        <f t="shared" si="29"/>
        <v>1</v>
      </c>
      <c r="L29" s="12">
        <f t="shared" si="29"/>
        <v>1</v>
      </c>
      <c r="M29" s="12">
        <f t="shared" si="29"/>
        <v>0.90500000000000003</v>
      </c>
      <c r="N29" s="12">
        <f t="shared" si="29"/>
        <v>0.66250000000000009</v>
      </c>
      <c r="O29" s="12">
        <f t="shared" si="29"/>
        <v>0.44500000000000001</v>
      </c>
      <c r="P29" s="12">
        <f t="shared" si="29"/>
        <v>0.35249999999999998</v>
      </c>
      <c r="Q29" s="12">
        <f t="shared" si="29"/>
        <v>0.35249999999999998</v>
      </c>
      <c r="R29" s="12">
        <f t="shared" si="29"/>
        <v>0.44500000000000001</v>
      </c>
      <c r="S29" s="12">
        <f t="shared" si="29"/>
        <v>0.66250000000000009</v>
      </c>
      <c r="T29" s="13">
        <f t="shared" si="29"/>
        <v>0.90500000000000003</v>
      </c>
      <c r="U29" s="14"/>
      <c r="V29" s="11">
        <f t="shared" si="29"/>
        <v>57.5</v>
      </c>
      <c r="W29" s="7"/>
      <c r="X29" s="12">
        <f t="shared" si="29"/>
        <v>0.875</v>
      </c>
      <c r="Y29" s="12">
        <f t="shared" si="29"/>
        <v>0.68500000000000005</v>
      </c>
      <c r="Z29" s="12">
        <f t="shared" si="29"/>
        <v>0.68500000000000005</v>
      </c>
      <c r="AA29" s="12">
        <f t="shared" si="29"/>
        <v>0.58499999999999996</v>
      </c>
      <c r="AB29" s="12">
        <f t="shared" si="29"/>
        <v>0.58499999999999996</v>
      </c>
      <c r="AC29" s="12">
        <f t="shared" si="29"/>
        <v>0.64</v>
      </c>
      <c r="AD29" s="12">
        <f t="shared" si="29"/>
        <v>0.64</v>
      </c>
      <c r="AE29" s="12">
        <f t="shared" si="29"/>
        <v>0.85</v>
      </c>
      <c r="AF29" s="12">
        <f t="shared" si="29"/>
        <v>0.85</v>
      </c>
      <c r="AG29" s="12">
        <f t="shared" si="29"/>
        <v>0.745</v>
      </c>
      <c r="AH29" s="12">
        <f t="shared" si="29"/>
        <v>0.61250000000000004</v>
      </c>
      <c r="AI29" s="12">
        <f t="shared" si="29"/>
        <v>0.63500000000000001</v>
      </c>
      <c r="AJ29" s="12">
        <f t="shared" si="29"/>
        <v>0.78</v>
      </c>
      <c r="AK29" s="12">
        <f t="shared" si="29"/>
        <v>0.78</v>
      </c>
      <c r="AL29" s="12">
        <f t="shared" si="29"/>
        <v>0.63500000000000001</v>
      </c>
      <c r="AM29" s="12">
        <f t="shared" si="29"/>
        <v>0.61250000000000004</v>
      </c>
      <c r="AN29" s="12">
        <f t="shared" si="29"/>
        <v>0.745</v>
      </c>
    </row>
    <row r="30" spans="2:44">
      <c r="B30" s="7">
        <v>60</v>
      </c>
      <c r="C30" s="8" t="s">
        <v>35</v>
      </c>
      <c r="D30" s="9" t="s">
        <v>82</v>
      </c>
      <c r="E30" s="9" t="s">
        <v>83</v>
      </c>
      <c r="F30" s="9" t="s">
        <v>83</v>
      </c>
      <c r="G30" s="9" t="s">
        <v>84</v>
      </c>
      <c r="H30" s="9" t="s">
        <v>84</v>
      </c>
      <c r="I30" s="9" t="s">
        <v>61</v>
      </c>
      <c r="J30" s="9" t="s">
        <v>61</v>
      </c>
      <c r="K30" s="9" t="s">
        <v>36</v>
      </c>
      <c r="L30" s="9" t="str">
        <f t="shared" si="1"/>
        <v>1,00</v>
      </c>
      <c r="M30" s="9">
        <f t="shared" si="2"/>
        <v>0.90500000000000003</v>
      </c>
      <c r="N30" s="9">
        <f t="shared" si="3"/>
        <v>0.66</v>
      </c>
      <c r="O30" s="9">
        <f t="shared" si="4"/>
        <v>0.44</v>
      </c>
      <c r="P30" s="9">
        <f t="shared" si="5"/>
        <v>0.34499999999999997</v>
      </c>
      <c r="Q30" s="9">
        <f t="shared" si="6"/>
        <v>0.34499999999999997</v>
      </c>
      <c r="R30" s="9">
        <f t="shared" si="7"/>
        <v>0.44</v>
      </c>
      <c r="S30" s="9">
        <f t="shared" si="8"/>
        <v>0.66</v>
      </c>
      <c r="T30" s="10">
        <f t="shared" si="9"/>
        <v>0.90500000000000003</v>
      </c>
      <c r="U30" s="2"/>
      <c r="V30" s="11">
        <v>60</v>
      </c>
      <c r="W30" s="8" t="s">
        <v>37</v>
      </c>
      <c r="X30" s="9" t="s">
        <v>47</v>
      </c>
      <c r="Y30" s="9" t="s">
        <v>77</v>
      </c>
      <c r="Z30" s="9" t="s">
        <v>77</v>
      </c>
      <c r="AA30" s="9" t="s">
        <v>68</v>
      </c>
      <c r="AB30" s="9" t="s">
        <v>68</v>
      </c>
      <c r="AC30" s="9" t="s">
        <v>76</v>
      </c>
      <c r="AD30" s="9" t="s">
        <v>76</v>
      </c>
      <c r="AE30" s="9" t="s">
        <v>60</v>
      </c>
      <c r="AF30" s="9" t="str">
        <f t="shared" si="10"/>
        <v>0,85</v>
      </c>
      <c r="AG30" s="9">
        <f t="shared" si="11"/>
        <v>0.74</v>
      </c>
      <c r="AH30" s="9">
        <f t="shared" si="12"/>
        <v>0.6</v>
      </c>
      <c r="AI30" s="9">
        <f t="shared" si="13"/>
        <v>0.62</v>
      </c>
      <c r="AJ30" s="9">
        <f t="shared" si="14"/>
        <v>0.76500000000000001</v>
      </c>
      <c r="AK30" s="9">
        <f t="shared" si="15"/>
        <v>0.76500000000000001</v>
      </c>
      <c r="AL30" s="9">
        <f t="shared" si="16"/>
        <v>0.62</v>
      </c>
      <c r="AM30" s="9">
        <f t="shared" si="17"/>
        <v>0.6</v>
      </c>
      <c r="AN30" s="9">
        <f t="shared" si="18"/>
        <v>0.74</v>
      </c>
    </row>
    <row r="31" spans="2:44">
      <c r="B31" s="7">
        <f>0.5*(B30+B32)</f>
        <v>62.5</v>
      </c>
      <c r="C31" s="7"/>
      <c r="D31" s="12">
        <f t="shared" ref="D31:AN31" si="30">0.5*(D30+D32)</f>
        <v>0.32</v>
      </c>
      <c r="E31" s="12">
        <f t="shared" si="30"/>
        <v>0.36499999999999999</v>
      </c>
      <c r="F31" s="12">
        <f t="shared" si="30"/>
        <v>0.36499999999999999</v>
      </c>
      <c r="G31" s="12">
        <f t="shared" si="30"/>
        <v>0.505</v>
      </c>
      <c r="H31" s="12">
        <f t="shared" si="30"/>
        <v>0.505</v>
      </c>
      <c r="I31" s="12">
        <f t="shared" si="30"/>
        <v>0.81</v>
      </c>
      <c r="J31" s="12">
        <f t="shared" si="30"/>
        <v>0.81</v>
      </c>
      <c r="K31" s="12">
        <f t="shared" si="30"/>
        <v>1</v>
      </c>
      <c r="L31" s="12">
        <f t="shared" si="30"/>
        <v>1</v>
      </c>
      <c r="M31" s="12">
        <f t="shared" si="30"/>
        <v>0.90500000000000003</v>
      </c>
      <c r="N31" s="12">
        <f t="shared" si="30"/>
        <v>0.65749999999999997</v>
      </c>
      <c r="O31" s="12">
        <f t="shared" si="30"/>
        <v>0.435</v>
      </c>
      <c r="P31" s="12">
        <f t="shared" si="30"/>
        <v>0.34249999999999997</v>
      </c>
      <c r="Q31" s="12">
        <f t="shared" si="30"/>
        <v>0.34249999999999997</v>
      </c>
      <c r="R31" s="12">
        <f t="shared" si="30"/>
        <v>0.435</v>
      </c>
      <c r="S31" s="12">
        <f t="shared" si="30"/>
        <v>0.65749999999999997</v>
      </c>
      <c r="T31" s="13">
        <f t="shared" si="30"/>
        <v>0.90500000000000003</v>
      </c>
      <c r="U31" s="14"/>
      <c r="V31" s="11">
        <f t="shared" si="30"/>
        <v>62.5</v>
      </c>
      <c r="W31" s="7"/>
      <c r="X31" s="12">
        <f t="shared" si="30"/>
        <v>0.82499999999999996</v>
      </c>
      <c r="Y31" s="12">
        <f t="shared" si="30"/>
        <v>0.65</v>
      </c>
      <c r="Z31" s="12">
        <f t="shared" si="30"/>
        <v>0.65</v>
      </c>
      <c r="AA31" s="12">
        <f t="shared" si="30"/>
        <v>0.56000000000000005</v>
      </c>
      <c r="AB31" s="12">
        <f t="shared" si="30"/>
        <v>0.56000000000000005</v>
      </c>
      <c r="AC31" s="12">
        <f t="shared" si="30"/>
        <v>0.63</v>
      </c>
      <c r="AD31" s="12">
        <f t="shared" si="30"/>
        <v>0.63</v>
      </c>
      <c r="AE31" s="12">
        <f t="shared" si="30"/>
        <v>0.85</v>
      </c>
      <c r="AF31" s="12">
        <f t="shared" si="30"/>
        <v>0.85</v>
      </c>
      <c r="AG31" s="12">
        <f t="shared" si="30"/>
        <v>0.74</v>
      </c>
      <c r="AH31" s="12">
        <f t="shared" si="30"/>
        <v>0.59499999999999997</v>
      </c>
      <c r="AI31" s="12">
        <f t="shared" si="30"/>
        <v>0.60499999999999998</v>
      </c>
      <c r="AJ31" s="12">
        <f t="shared" si="30"/>
        <v>0.73750000000000004</v>
      </c>
      <c r="AK31" s="12">
        <f t="shared" si="30"/>
        <v>0.73750000000000004</v>
      </c>
      <c r="AL31" s="12">
        <f t="shared" si="30"/>
        <v>0.60499999999999998</v>
      </c>
      <c r="AM31" s="12">
        <f t="shared" si="30"/>
        <v>0.59499999999999997</v>
      </c>
      <c r="AN31" s="12">
        <f t="shared" si="30"/>
        <v>0.74</v>
      </c>
    </row>
    <row r="32" spans="2:44">
      <c r="B32" s="7">
        <v>65</v>
      </c>
      <c r="C32" s="8" t="s">
        <v>35</v>
      </c>
      <c r="D32" s="9" t="s">
        <v>82</v>
      </c>
      <c r="E32" s="9" t="s">
        <v>74</v>
      </c>
      <c r="F32" s="9" t="s">
        <v>74</v>
      </c>
      <c r="G32" s="9" t="s">
        <v>85</v>
      </c>
      <c r="H32" s="9" t="s">
        <v>85</v>
      </c>
      <c r="I32" s="9" t="s">
        <v>61</v>
      </c>
      <c r="J32" s="9" t="s">
        <v>61</v>
      </c>
      <c r="K32" s="9" t="s">
        <v>36</v>
      </c>
      <c r="L32" s="9" t="str">
        <f t="shared" si="1"/>
        <v>1,00</v>
      </c>
      <c r="M32" s="9">
        <f t="shared" si="2"/>
        <v>0.90500000000000003</v>
      </c>
      <c r="N32" s="9">
        <f t="shared" si="3"/>
        <v>0.65500000000000003</v>
      </c>
      <c r="O32" s="9">
        <f t="shared" si="4"/>
        <v>0.43</v>
      </c>
      <c r="P32" s="9">
        <f t="shared" si="5"/>
        <v>0.33999999999999997</v>
      </c>
      <c r="Q32" s="9">
        <f t="shared" si="6"/>
        <v>0.33999999999999997</v>
      </c>
      <c r="R32" s="9">
        <f t="shared" si="7"/>
        <v>0.43</v>
      </c>
      <c r="S32" s="9">
        <f t="shared" si="8"/>
        <v>0.65500000000000003</v>
      </c>
      <c r="T32" s="10">
        <f t="shared" si="9"/>
        <v>0.90500000000000003</v>
      </c>
      <c r="U32" s="2"/>
      <c r="V32" s="11">
        <v>65</v>
      </c>
      <c r="W32" s="8" t="s">
        <v>37</v>
      </c>
      <c r="X32" s="9" t="s">
        <v>86</v>
      </c>
      <c r="Y32" s="9" t="s">
        <v>76</v>
      </c>
      <c r="Z32" s="9" t="s">
        <v>76</v>
      </c>
      <c r="AA32" s="9" t="s">
        <v>70</v>
      </c>
      <c r="AB32" s="9" t="s">
        <v>70</v>
      </c>
      <c r="AC32" s="9" t="s">
        <v>76</v>
      </c>
      <c r="AD32" s="9" t="s">
        <v>76</v>
      </c>
      <c r="AE32" s="9" t="s">
        <v>60</v>
      </c>
      <c r="AF32" s="9" t="str">
        <f t="shared" si="10"/>
        <v>0,85</v>
      </c>
      <c r="AG32" s="9">
        <f t="shared" si="11"/>
        <v>0.74</v>
      </c>
      <c r="AH32" s="9">
        <f t="shared" si="12"/>
        <v>0.59000000000000008</v>
      </c>
      <c r="AI32" s="9">
        <f t="shared" si="13"/>
        <v>0.59000000000000008</v>
      </c>
      <c r="AJ32" s="9">
        <f t="shared" si="14"/>
        <v>0.71</v>
      </c>
      <c r="AK32" s="9">
        <f t="shared" si="15"/>
        <v>0.71</v>
      </c>
      <c r="AL32" s="9">
        <f t="shared" si="16"/>
        <v>0.59000000000000008</v>
      </c>
      <c r="AM32" s="9">
        <f t="shared" si="17"/>
        <v>0.59000000000000008</v>
      </c>
      <c r="AN32" s="9">
        <f t="shared" si="18"/>
        <v>0.74</v>
      </c>
    </row>
    <row r="33" spans="2:40">
      <c r="B33" s="7">
        <f>0.5*(B32+B34)</f>
        <v>67.5</v>
      </c>
      <c r="C33" s="7"/>
      <c r="D33" s="12">
        <f t="shared" ref="D33:AN33" si="31">0.5*(D32+D34)</f>
        <v>0.315</v>
      </c>
      <c r="E33" s="12">
        <f t="shared" si="31"/>
        <v>0.36</v>
      </c>
      <c r="F33" s="12">
        <f t="shared" si="31"/>
        <v>0.36</v>
      </c>
      <c r="G33" s="12">
        <f t="shared" si="31"/>
        <v>0.5</v>
      </c>
      <c r="H33" s="12">
        <f t="shared" si="31"/>
        <v>0.5</v>
      </c>
      <c r="I33" s="12">
        <f t="shared" si="31"/>
        <v>0.81</v>
      </c>
      <c r="J33" s="12">
        <f t="shared" si="31"/>
        <v>0.81</v>
      </c>
      <c r="K33" s="12">
        <f t="shared" si="31"/>
        <v>1</v>
      </c>
      <c r="L33" s="12">
        <f t="shared" si="31"/>
        <v>1</v>
      </c>
      <c r="M33" s="12">
        <f t="shared" si="31"/>
        <v>0.90500000000000003</v>
      </c>
      <c r="N33" s="12">
        <f t="shared" si="31"/>
        <v>0.65500000000000003</v>
      </c>
      <c r="O33" s="12">
        <f t="shared" si="31"/>
        <v>0.43</v>
      </c>
      <c r="P33" s="12">
        <f t="shared" si="31"/>
        <v>0.33749999999999997</v>
      </c>
      <c r="Q33" s="12">
        <f t="shared" si="31"/>
        <v>0.33749999999999997</v>
      </c>
      <c r="R33" s="12">
        <f t="shared" si="31"/>
        <v>0.43</v>
      </c>
      <c r="S33" s="12">
        <f t="shared" si="31"/>
        <v>0.65500000000000003</v>
      </c>
      <c r="T33" s="13">
        <f t="shared" si="31"/>
        <v>0.90500000000000003</v>
      </c>
      <c r="U33" s="14"/>
      <c r="V33" s="11">
        <f t="shared" si="31"/>
        <v>67.5</v>
      </c>
      <c r="W33" s="7"/>
      <c r="X33" s="12">
        <f t="shared" si="31"/>
        <v>0.76</v>
      </c>
      <c r="Y33" s="12">
        <f t="shared" si="31"/>
        <v>0.60499999999999998</v>
      </c>
      <c r="Z33" s="12">
        <f t="shared" si="31"/>
        <v>0.60499999999999998</v>
      </c>
      <c r="AA33" s="12">
        <f t="shared" si="31"/>
        <v>0.53500000000000003</v>
      </c>
      <c r="AB33" s="12">
        <f t="shared" si="31"/>
        <v>0.53500000000000003</v>
      </c>
      <c r="AC33" s="12">
        <f t="shared" si="31"/>
        <v>0.625</v>
      </c>
      <c r="AD33" s="12">
        <f t="shared" si="31"/>
        <v>0.625</v>
      </c>
      <c r="AE33" s="12">
        <f t="shared" si="31"/>
        <v>0.85</v>
      </c>
      <c r="AF33" s="12">
        <f t="shared" si="31"/>
        <v>0.85</v>
      </c>
      <c r="AG33" s="12">
        <f t="shared" si="31"/>
        <v>0.73750000000000004</v>
      </c>
      <c r="AH33" s="12">
        <f t="shared" si="31"/>
        <v>0.58000000000000007</v>
      </c>
      <c r="AI33" s="12">
        <f t="shared" si="31"/>
        <v>0.57000000000000006</v>
      </c>
      <c r="AJ33" s="12">
        <f t="shared" si="31"/>
        <v>0.6825</v>
      </c>
      <c r="AK33" s="12">
        <f t="shared" si="31"/>
        <v>0.6825</v>
      </c>
      <c r="AL33" s="12">
        <f t="shared" si="31"/>
        <v>0.57000000000000006</v>
      </c>
      <c r="AM33" s="12">
        <f t="shared" si="31"/>
        <v>0.58000000000000007</v>
      </c>
      <c r="AN33" s="12">
        <f t="shared" si="31"/>
        <v>0.73750000000000004</v>
      </c>
    </row>
    <row r="34" spans="2:40">
      <c r="B34" s="7">
        <v>70</v>
      </c>
      <c r="C34" s="8" t="s">
        <v>35</v>
      </c>
      <c r="D34" s="9" t="s">
        <v>87</v>
      </c>
      <c r="E34" s="9" t="s">
        <v>74</v>
      </c>
      <c r="F34" s="9" t="s">
        <v>74</v>
      </c>
      <c r="G34" s="9" t="s">
        <v>85</v>
      </c>
      <c r="H34" s="9" t="s">
        <v>85</v>
      </c>
      <c r="I34" s="9" t="s">
        <v>61</v>
      </c>
      <c r="J34" s="9" t="s">
        <v>61</v>
      </c>
      <c r="K34" s="9" t="s">
        <v>36</v>
      </c>
      <c r="L34" s="9" t="str">
        <f t="shared" si="1"/>
        <v>1,00</v>
      </c>
      <c r="M34" s="9">
        <f t="shared" si="2"/>
        <v>0.90500000000000003</v>
      </c>
      <c r="N34" s="9">
        <f t="shared" si="3"/>
        <v>0.65500000000000003</v>
      </c>
      <c r="O34" s="9">
        <f t="shared" si="4"/>
        <v>0.43</v>
      </c>
      <c r="P34" s="9">
        <f t="shared" si="5"/>
        <v>0.33499999999999996</v>
      </c>
      <c r="Q34" s="9">
        <f t="shared" si="6"/>
        <v>0.33499999999999996</v>
      </c>
      <c r="R34" s="9">
        <f t="shared" si="7"/>
        <v>0.43</v>
      </c>
      <c r="S34" s="9">
        <f t="shared" si="8"/>
        <v>0.65500000000000003</v>
      </c>
      <c r="T34" s="10">
        <f t="shared" si="9"/>
        <v>0.90500000000000003</v>
      </c>
      <c r="U34" s="2"/>
      <c r="V34" s="11">
        <v>70</v>
      </c>
      <c r="W34" s="8" t="s">
        <v>37</v>
      </c>
      <c r="X34" s="9" t="s">
        <v>53</v>
      </c>
      <c r="Y34" s="9" t="s">
        <v>88</v>
      </c>
      <c r="Z34" s="9" t="s">
        <v>88</v>
      </c>
      <c r="AA34" s="9" t="s">
        <v>80</v>
      </c>
      <c r="AB34" s="9" t="s">
        <v>80</v>
      </c>
      <c r="AC34" s="9" t="s">
        <v>58</v>
      </c>
      <c r="AD34" s="9" t="s">
        <v>58</v>
      </c>
      <c r="AE34" s="9" t="s">
        <v>60</v>
      </c>
      <c r="AF34" s="9" t="str">
        <f t="shared" si="10"/>
        <v>0,85</v>
      </c>
      <c r="AG34" s="9">
        <f t="shared" si="11"/>
        <v>0.73499999999999999</v>
      </c>
      <c r="AH34" s="9">
        <f t="shared" si="12"/>
        <v>0.57000000000000006</v>
      </c>
      <c r="AI34" s="9">
        <f t="shared" si="13"/>
        <v>0.55000000000000004</v>
      </c>
      <c r="AJ34" s="9">
        <f t="shared" si="14"/>
        <v>0.65500000000000003</v>
      </c>
      <c r="AK34" s="9">
        <f t="shared" si="15"/>
        <v>0.65500000000000003</v>
      </c>
      <c r="AL34" s="9">
        <f t="shared" si="16"/>
        <v>0.55000000000000004</v>
      </c>
      <c r="AM34" s="9">
        <f t="shared" si="17"/>
        <v>0.57000000000000006</v>
      </c>
      <c r="AN34" s="9">
        <f t="shared" si="18"/>
        <v>0.73499999999999999</v>
      </c>
    </row>
    <row r="35" spans="2:40">
      <c r="B35" s="7">
        <f>0.5*(B34+B36)</f>
        <v>72.5</v>
      </c>
      <c r="C35" s="7"/>
      <c r="D35" s="12">
        <f t="shared" ref="D35:AN35" si="32">0.5*(D34+D36)</f>
        <v>0.31</v>
      </c>
      <c r="E35" s="12">
        <f t="shared" si="32"/>
        <v>0.36</v>
      </c>
      <c r="F35" s="12">
        <f t="shared" si="32"/>
        <v>0.36</v>
      </c>
      <c r="G35" s="12">
        <f t="shared" si="32"/>
        <v>0.5</v>
      </c>
      <c r="H35" s="12">
        <f t="shared" si="32"/>
        <v>0.5</v>
      </c>
      <c r="I35" s="12">
        <f t="shared" si="32"/>
        <v>0.81</v>
      </c>
      <c r="J35" s="12">
        <f t="shared" si="32"/>
        <v>0.81</v>
      </c>
      <c r="K35" s="12">
        <f t="shared" si="32"/>
        <v>1</v>
      </c>
      <c r="L35" s="12">
        <f t="shared" si="32"/>
        <v>1</v>
      </c>
      <c r="M35" s="12">
        <f t="shared" si="32"/>
        <v>0.90500000000000003</v>
      </c>
      <c r="N35" s="12">
        <f t="shared" si="32"/>
        <v>0.65500000000000003</v>
      </c>
      <c r="O35" s="12">
        <f t="shared" si="32"/>
        <v>0.43</v>
      </c>
      <c r="P35" s="12">
        <f t="shared" si="32"/>
        <v>0.33499999999999996</v>
      </c>
      <c r="Q35" s="12">
        <f t="shared" si="32"/>
        <v>0.33499999999999996</v>
      </c>
      <c r="R35" s="12">
        <f t="shared" si="32"/>
        <v>0.43</v>
      </c>
      <c r="S35" s="12">
        <f t="shared" si="32"/>
        <v>0.65500000000000003</v>
      </c>
      <c r="T35" s="13">
        <f t="shared" si="32"/>
        <v>0.90500000000000003</v>
      </c>
      <c r="U35" s="14"/>
      <c r="V35" s="11">
        <f t="shared" si="32"/>
        <v>72.5</v>
      </c>
      <c r="W35" s="7"/>
      <c r="X35" s="12">
        <f t="shared" si="32"/>
        <v>0.73</v>
      </c>
      <c r="Y35" s="12">
        <f t="shared" si="32"/>
        <v>0.57999999999999996</v>
      </c>
      <c r="Z35" s="12">
        <f t="shared" si="32"/>
        <v>0.57999999999999996</v>
      </c>
      <c r="AA35" s="12">
        <f t="shared" si="32"/>
        <v>0.52</v>
      </c>
      <c r="AB35" s="12">
        <f t="shared" si="32"/>
        <v>0.52</v>
      </c>
      <c r="AC35" s="12">
        <f t="shared" si="32"/>
        <v>0.62</v>
      </c>
      <c r="AD35" s="12">
        <f t="shared" si="32"/>
        <v>0.62</v>
      </c>
      <c r="AE35" s="12">
        <f t="shared" si="32"/>
        <v>0.85</v>
      </c>
      <c r="AF35" s="12">
        <f t="shared" si="32"/>
        <v>0.85</v>
      </c>
      <c r="AG35" s="12">
        <f t="shared" si="32"/>
        <v>0.73499999999999999</v>
      </c>
      <c r="AH35" s="12">
        <f t="shared" si="32"/>
        <v>0.57000000000000006</v>
      </c>
      <c r="AI35" s="12">
        <f t="shared" si="32"/>
        <v>0.55000000000000004</v>
      </c>
      <c r="AJ35" s="12">
        <f t="shared" si="32"/>
        <v>0.65500000000000003</v>
      </c>
      <c r="AK35" s="12">
        <f t="shared" si="32"/>
        <v>0.65500000000000003</v>
      </c>
      <c r="AL35" s="12">
        <f t="shared" si="32"/>
        <v>0.55000000000000004</v>
      </c>
      <c r="AM35" s="12">
        <f t="shared" si="32"/>
        <v>0.57000000000000006</v>
      </c>
      <c r="AN35" s="12">
        <f t="shared" si="32"/>
        <v>0.73499999999999999</v>
      </c>
    </row>
    <row r="36" spans="2:40">
      <c r="B36" s="7">
        <v>75</v>
      </c>
      <c r="C36" s="8" t="s">
        <v>35</v>
      </c>
      <c r="D36" s="9" t="s">
        <v>87</v>
      </c>
      <c r="E36" s="9" t="s">
        <v>74</v>
      </c>
      <c r="F36" s="9" t="s">
        <v>74</v>
      </c>
      <c r="G36" s="9" t="s">
        <v>85</v>
      </c>
      <c r="H36" s="9" t="s">
        <v>85</v>
      </c>
      <c r="I36" s="9" t="s">
        <v>61</v>
      </c>
      <c r="J36" s="9" t="s">
        <v>61</v>
      </c>
      <c r="K36" s="9" t="s">
        <v>36</v>
      </c>
      <c r="L36" s="9" t="str">
        <f t="shared" si="1"/>
        <v>1,00</v>
      </c>
      <c r="M36" s="9">
        <f t="shared" si="2"/>
        <v>0.90500000000000003</v>
      </c>
      <c r="N36" s="9">
        <f t="shared" si="3"/>
        <v>0.65500000000000003</v>
      </c>
      <c r="O36" s="9">
        <f t="shared" si="4"/>
        <v>0.43</v>
      </c>
      <c r="P36" s="9">
        <f t="shared" si="5"/>
        <v>0.33499999999999996</v>
      </c>
      <c r="Q36" s="9">
        <f t="shared" si="6"/>
        <v>0.33499999999999996</v>
      </c>
      <c r="R36" s="9">
        <f t="shared" si="7"/>
        <v>0.43</v>
      </c>
      <c r="S36" s="9">
        <f t="shared" si="8"/>
        <v>0.65500000000000003</v>
      </c>
      <c r="T36" s="10">
        <f t="shared" si="9"/>
        <v>0.90500000000000003</v>
      </c>
      <c r="U36" s="2"/>
      <c r="V36" s="11">
        <v>75</v>
      </c>
      <c r="W36" s="8" t="s">
        <v>37</v>
      </c>
      <c r="X36" s="9" t="s">
        <v>53</v>
      </c>
      <c r="Y36" s="9" t="s">
        <v>88</v>
      </c>
      <c r="Z36" s="9" t="s">
        <v>88</v>
      </c>
      <c r="AA36" s="9" t="s">
        <v>80</v>
      </c>
      <c r="AB36" s="9" t="s">
        <v>80</v>
      </c>
      <c r="AC36" s="9" t="s">
        <v>58</v>
      </c>
      <c r="AD36" s="9" t="s">
        <v>58</v>
      </c>
      <c r="AE36" s="9" t="s">
        <v>60</v>
      </c>
      <c r="AF36" s="9" t="str">
        <f t="shared" si="10"/>
        <v>0,85</v>
      </c>
      <c r="AG36" s="9">
        <f t="shared" si="11"/>
        <v>0.73499999999999999</v>
      </c>
      <c r="AH36" s="9">
        <f t="shared" si="12"/>
        <v>0.57000000000000006</v>
      </c>
      <c r="AI36" s="9">
        <f t="shared" si="13"/>
        <v>0.55000000000000004</v>
      </c>
      <c r="AJ36" s="9">
        <f t="shared" si="14"/>
        <v>0.65500000000000003</v>
      </c>
      <c r="AK36" s="9">
        <f t="shared" si="15"/>
        <v>0.65500000000000003</v>
      </c>
      <c r="AL36" s="9">
        <f t="shared" si="16"/>
        <v>0.55000000000000004</v>
      </c>
      <c r="AM36" s="9">
        <f t="shared" si="17"/>
        <v>0.57000000000000006</v>
      </c>
      <c r="AN36" s="9">
        <f t="shared" si="18"/>
        <v>0.73499999999999999</v>
      </c>
    </row>
    <row r="37" spans="2:40">
      <c r="B37" s="7">
        <f>0.5*(B36+B38)</f>
        <v>77.5</v>
      </c>
      <c r="C37" s="7"/>
      <c r="D37" s="12">
        <f t="shared" ref="D37:AN37" si="33">0.5*(D36+D38)</f>
        <v>0.31</v>
      </c>
      <c r="E37" s="12">
        <f t="shared" si="33"/>
        <v>0.36</v>
      </c>
      <c r="F37" s="12">
        <f t="shared" si="33"/>
        <v>0.36</v>
      </c>
      <c r="G37" s="12">
        <f t="shared" si="33"/>
        <v>0.5</v>
      </c>
      <c r="H37" s="12">
        <f t="shared" si="33"/>
        <v>0.5</v>
      </c>
      <c r="I37" s="12">
        <f t="shared" si="33"/>
        <v>0.81</v>
      </c>
      <c r="J37" s="12">
        <f t="shared" si="33"/>
        <v>0.81</v>
      </c>
      <c r="K37" s="12">
        <f t="shared" si="33"/>
        <v>1</v>
      </c>
      <c r="L37" s="12">
        <f t="shared" si="33"/>
        <v>1</v>
      </c>
      <c r="M37" s="12">
        <f t="shared" si="33"/>
        <v>0.90500000000000003</v>
      </c>
      <c r="N37" s="12">
        <f t="shared" si="33"/>
        <v>0.65500000000000003</v>
      </c>
      <c r="O37" s="12">
        <f t="shared" si="33"/>
        <v>0.43</v>
      </c>
      <c r="P37" s="12">
        <f t="shared" si="33"/>
        <v>0.33499999999999996</v>
      </c>
      <c r="Q37" s="12">
        <f t="shared" si="33"/>
        <v>0.33499999999999996</v>
      </c>
      <c r="R37" s="12">
        <f t="shared" si="33"/>
        <v>0.43</v>
      </c>
      <c r="S37" s="12">
        <f t="shared" si="33"/>
        <v>0.65500000000000003</v>
      </c>
      <c r="T37" s="13">
        <f t="shared" si="33"/>
        <v>0.90500000000000003</v>
      </c>
      <c r="U37" s="14"/>
      <c r="V37" s="11">
        <f t="shared" si="33"/>
        <v>77.5</v>
      </c>
      <c r="W37" s="7"/>
      <c r="X37" s="12">
        <f t="shared" si="33"/>
        <v>0.73</v>
      </c>
      <c r="Y37" s="12">
        <f t="shared" si="33"/>
        <v>0.57999999999999996</v>
      </c>
      <c r="Z37" s="12">
        <f t="shared" si="33"/>
        <v>0.57999999999999996</v>
      </c>
      <c r="AA37" s="12">
        <f t="shared" si="33"/>
        <v>0.52</v>
      </c>
      <c r="AB37" s="12">
        <f t="shared" si="33"/>
        <v>0.52</v>
      </c>
      <c r="AC37" s="12">
        <f t="shared" si="33"/>
        <v>0.62</v>
      </c>
      <c r="AD37" s="12">
        <f t="shared" si="33"/>
        <v>0.62</v>
      </c>
      <c r="AE37" s="12">
        <f t="shared" si="33"/>
        <v>0.85</v>
      </c>
      <c r="AF37" s="12">
        <f t="shared" si="33"/>
        <v>0.85</v>
      </c>
      <c r="AG37" s="12">
        <f t="shared" si="33"/>
        <v>0.73499999999999999</v>
      </c>
      <c r="AH37" s="12">
        <f t="shared" si="33"/>
        <v>0.57000000000000006</v>
      </c>
      <c r="AI37" s="12">
        <f t="shared" si="33"/>
        <v>0.55000000000000004</v>
      </c>
      <c r="AJ37" s="12">
        <f t="shared" si="33"/>
        <v>0.65500000000000003</v>
      </c>
      <c r="AK37" s="12">
        <f t="shared" si="33"/>
        <v>0.65500000000000003</v>
      </c>
      <c r="AL37" s="12">
        <f t="shared" si="33"/>
        <v>0.55000000000000004</v>
      </c>
      <c r="AM37" s="12">
        <f t="shared" si="33"/>
        <v>0.57000000000000006</v>
      </c>
      <c r="AN37" s="12">
        <f t="shared" si="33"/>
        <v>0.73499999999999999</v>
      </c>
    </row>
    <row r="38" spans="2:40">
      <c r="B38" s="7">
        <v>80</v>
      </c>
      <c r="C38" s="8" t="s">
        <v>35</v>
      </c>
      <c r="D38" s="9" t="s">
        <v>87</v>
      </c>
      <c r="E38" s="9" t="s">
        <v>74</v>
      </c>
      <c r="F38" s="9" t="s">
        <v>74</v>
      </c>
      <c r="G38" s="9" t="s">
        <v>85</v>
      </c>
      <c r="H38" s="9" t="s">
        <v>85</v>
      </c>
      <c r="I38" s="9" t="s">
        <v>61</v>
      </c>
      <c r="J38" s="9" t="s">
        <v>61</v>
      </c>
      <c r="K38" s="9" t="s">
        <v>36</v>
      </c>
      <c r="L38" s="9" t="str">
        <f t="shared" si="1"/>
        <v>1,00</v>
      </c>
      <c r="M38" s="9">
        <f t="shared" si="2"/>
        <v>0.90500000000000003</v>
      </c>
      <c r="N38" s="9">
        <f t="shared" si="3"/>
        <v>0.65500000000000003</v>
      </c>
      <c r="O38" s="9">
        <f t="shared" si="4"/>
        <v>0.43</v>
      </c>
      <c r="P38" s="9">
        <f t="shared" si="5"/>
        <v>0.33499999999999996</v>
      </c>
      <c r="Q38" s="9">
        <f t="shared" si="6"/>
        <v>0.33499999999999996</v>
      </c>
      <c r="R38" s="9">
        <f t="shared" si="7"/>
        <v>0.43</v>
      </c>
      <c r="S38" s="9">
        <f t="shared" si="8"/>
        <v>0.65500000000000003</v>
      </c>
      <c r="T38" s="10">
        <f t="shared" si="9"/>
        <v>0.90500000000000003</v>
      </c>
      <c r="U38" s="2"/>
      <c r="V38" s="11">
        <v>80</v>
      </c>
      <c r="W38" s="8" t="s">
        <v>37</v>
      </c>
      <c r="X38" s="9" t="s">
        <v>53</v>
      </c>
      <c r="Y38" s="9" t="s">
        <v>88</v>
      </c>
      <c r="Z38" s="9" t="s">
        <v>88</v>
      </c>
      <c r="AA38" s="9" t="s">
        <v>80</v>
      </c>
      <c r="AB38" s="9" t="s">
        <v>80</v>
      </c>
      <c r="AC38" s="9" t="s">
        <v>58</v>
      </c>
      <c r="AD38" s="9" t="s">
        <v>58</v>
      </c>
      <c r="AE38" s="9" t="s">
        <v>60</v>
      </c>
      <c r="AF38" s="9" t="str">
        <f t="shared" si="10"/>
        <v>0,85</v>
      </c>
      <c r="AG38" s="9">
        <f t="shared" si="11"/>
        <v>0.73499999999999999</v>
      </c>
      <c r="AH38" s="9">
        <f t="shared" si="12"/>
        <v>0.57000000000000006</v>
      </c>
      <c r="AI38" s="9">
        <f t="shared" si="13"/>
        <v>0.55000000000000004</v>
      </c>
      <c r="AJ38" s="9">
        <f t="shared" si="14"/>
        <v>0.65500000000000003</v>
      </c>
      <c r="AK38" s="9">
        <f t="shared" si="15"/>
        <v>0.65500000000000003</v>
      </c>
      <c r="AL38" s="9">
        <f t="shared" si="16"/>
        <v>0.55000000000000004</v>
      </c>
      <c r="AM38" s="9">
        <f t="shared" si="17"/>
        <v>0.57000000000000006</v>
      </c>
      <c r="AN38" s="9">
        <f t="shared" si="18"/>
        <v>0.73499999999999999</v>
      </c>
    </row>
    <row r="39" spans="2:40">
      <c r="B39" s="7">
        <f>0.5*(B38+B40)</f>
        <v>82.5</v>
      </c>
      <c r="C39" s="7"/>
      <c r="D39" s="12">
        <f t="shared" ref="D39:AN39" si="34">0.5*(D38+D40)</f>
        <v>0.31</v>
      </c>
      <c r="E39" s="12">
        <f t="shared" si="34"/>
        <v>0.36</v>
      </c>
      <c r="F39" s="12">
        <f t="shared" si="34"/>
        <v>0.36</v>
      </c>
      <c r="G39" s="12">
        <f t="shared" si="34"/>
        <v>0.5</v>
      </c>
      <c r="H39" s="12">
        <f t="shared" si="34"/>
        <v>0.5</v>
      </c>
      <c r="I39" s="12">
        <f t="shared" si="34"/>
        <v>0.81</v>
      </c>
      <c r="J39" s="12">
        <f t="shared" si="34"/>
        <v>0.81</v>
      </c>
      <c r="K39" s="12">
        <f t="shared" si="34"/>
        <v>1</v>
      </c>
      <c r="L39" s="12">
        <f t="shared" si="34"/>
        <v>1</v>
      </c>
      <c r="M39" s="12">
        <f t="shared" si="34"/>
        <v>0.90500000000000003</v>
      </c>
      <c r="N39" s="12">
        <f t="shared" si="34"/>
        <v>0.65500000000000003</v>
      </c>
      <c r="O39" s="12">
        <f t="shared" si="34"/>
        <v>0.43</v>
      </c>
      <c r="P39" s="12">
        <f t="shared" si="34"/>
        <v>0.33499999999999996</v>
      </c>
      <c r="Q39" s="12">
        <f t="shared" si="34"/>
        <v>0.33499999999999996</v>
      </c>
      <c r="R39" s="12">
        <f t="shared" si="34"/>
        <v>0.43</v>
      </c>
      <c r="S39" s="12">
        <f t="shared" si="34"/>
        <v>0.65500000000000003</v>
      </c>
      <c r="T39" s="13">
        <f t="shared" si="34"/>
        <v>0.90500000000000003</v>
      </c>
      <c r="U39" s="14"/>
      <c r="V39" s="11">
        <f t="shared" si="34"/>
        <v>82.5</v>
      </c>
      <c r="W39" s="7"/>
      <c r="X39" s="12">
        <f t="shared" si="34"/>
        <v>0.73</v>
      </c>
      <c r="Y39" s="12">
        <f t="shared" si="34"/>
        <v>0.57999999999999996</v>
      </c>
      <c r="Z39" s="12">
        <f t="shared" si="34"/>
        <v>0.57999999999999996</v>
      </c>
      <c r="AA39" s="12">
        <f t="shared" si="34"/>
        <v>0.52</v>
      </c>
      <c r="AB39" s="12">
        <f t="shared" si="34"/>
        <v>0.52</v>
      </c>
      <c r="AC39" s="12">
        <f t="shared" si="34"/>
        <v>0.62</v>
      </c>
      <c r="AD39" s="12">
        <f t="shared" si="34"/>
        <v>0.62</v>
      </c>
      <c r="AE39" s="12">
        <f t="shared" si="34"/>
        <v>0.85</v>
      </c>
      <c r="AF39" s="12">
        <f t="shared" si="34"/>
        <v>0.85</v>
      </c>
      <c r="AG39" s="12">
        <f t="shared" si="34"/>
        <v>0.73499999999999999</v>
      </c>
      <c r="AH39" s="12">
        <f t="shared" si="34"/>
        <v>0.57000000000000006</v>
      </c>
      <c r="AI39" s="12">
        <f t="shared" si="34"/>
        <v>0.55000000000000004</v>
      </c>
      <c r="AJ39" s="12">
        <f t="shared" si="34"/>
        <v>0.65500000000000003</v>
      </c>
      <c r="AK39" s="12">
        <f t="shared" si="34"/>
        <v>0.65500000000000003</v>
      </c>
      <c r="AL39" s="12">
        <f t="shared" si="34"/>
        <v>0.55000000000000004</v>
      </c>
      <c r="AM39" s="12">
        <f t="shared" si="34"/>
        <v>0.57000000000000006</v>
      </c>
      <c r="AN39" s="12">
        <f t="shared" si="34"/>
        <v>0.73499999999999999</v>
      </c>
    </row>
    <row r="40" spans="2:40">
      <c r="B40" s="7">
        <v>85</v>
      </c>
      <c r="C40" s="8" t="s">
        <v>35</v>
      </c>
      <c r="D40" s="9" t="s">
        <v>87</v>
      </c>
      <c r="E40" s="9" t="s">
        <v>74</v>
      </c>
      <c r="F40" s="9" t="s">
        <v>74</v>
      </c>
      <c r="G40" s="9" t="s">
        <v>85</v>
      </c>
      <c r="H40" s="9" t="s">
        <v>85</v>
      </c>
      <c r="I40" s="9" t="s">
        <v>61</v>
      </c>
      <c r="J40" s="9" t="s">
        <v>61</v>
      </c>
      <c r="K40" s="9" t="s">
        <v>36</v>
      </c>
      <c r="L40" s="9" t="str">
        <f t="shared" si="1"/>
        <v>1,00</v>
      </c>
      <c r="M40" s="9">
        <f t="shared" si="2"/>
        <v>0.90500000000000003</v>
      </c>
      <c r="N40" s="9">
        <f t="shared" si="3"/>
        <v>0.65500000000000003</v>
      </c>
      <c r="O40" s="9">
        <f t="shared" si="4"/>
        <v>0.43</v>
      </c>
      <c r="P40" s="9">
        <f t="shared" si="5"/>
        <v>0.33499999999999996</v>
      </c>
      <c r="Q40" s="9">
        <f t="shared" si="6"/>
        <v>0.33499999999999996</v>
      </c>
      <c r="R40" s="9">
        <f t="shared" si="7"/>
        <v>0.43</v>
      </c>
      <c r="S40" s="9">
        <f t="shared" si="8"/>
        <v>0.65500000000000003</v>
      </c>
      <c r="T40" s="10">
        <f t="shared" si="9"/>
        <v>0.90500000000000003</v>
      </c>
      <c r="U40" s="2"/>
      <c r="V40" s="11">
        <v>85</v>
      </c>
      <c r="W40" s="8" t="s">
        <v>37</v>
      </c>
      <c r="X40" s="9" t="s">
        <v>53</v>
      </c>
      <c r="Y40" s="9" t="s">
        <v>88</v>
      </c>
      <c r="Z40" s="9" t="s">
        <v>88</v>
      </c>
      <c r="AA40" s="9" t="s">
        <v>80</v>
      </c>
      <c r="AB40" s="9" t="s">
        <v>80</v>
      </c>
      <c r="AC40" s="9" t="s">
        <v>58</v>
      </c>
      <c r="AD40" s="9" t="s">
        <v>58</v>
      </c>
      <c r="AE40" s="9" t="s">
        <v>60</v>
      </c>
      <c r="AF40" s="9" t="str">
        <f t="shared" si="10"/>
        <v>0,85</v>
      </c>
      <c r="AG40" s="9">
        <f t="shared" si="11"/>
        <v>0.73499999999999999</v>
      </c>
      <c r="AH40" s="9">
        <f t="shared" si="12"/>
        <v>0.57000000000000006</v>
      </c>
      <c r="AI40" s="9">
        <f t="shared" si="13"/>
        <v>0.55000000000000004</v>
      </c>
      <c r="AJ40" s="9">
        <f t="shared" si="14"/>
        <v>0.65500000000000003</v>
      </c>
      <c r="AK40" s="9">
        <f t="shared" si="15"/>
        <v>0.65500000000000003</v>
      </c>
      <c r="AL40" s="9">
        <f t="shared" si="16"/>
        <v>0.55000000000000004</v>
      </c>
      <c r="AM40" s="9">
        <f t="shared" si="17"/>
        <v>0.57000000000000006</v>
      </c>
      <c r="AN40" s="9">
        <f t="shared" si="18"/>
        <v>0.73499999999999999</v>
      </c>
    </row>
    <row r="41" spans="2:40">
      <c r="B41" s="7">
        <f>0.5*(B40+B42)</f>
        <v>87.5</v>
      </c>
      <c r="C41" s="7"/>
      <c r="D41" s="12">
        <f t="shared" ref="D41:AN41" si="35">0.5*(D40+D42)</f>
        <v>0.31</v>
      </c>
      <c r="E41" s="12">
        <f t="shared" si="35"/>
        <v>0.36</v>
      </c>
      <c r="F41" s="12">
        <f t="shared" si="35"/>
        <v>0.36</v>
      </c>
      <c r="G41" s="12">
        <f t="shared" si="35"/>
        <v>0.5</v>
      </c>
      <c r="H41" s="12">
        <f t="shared" si="35"/>
        <v>0.5</v>
      </c>
      <c r="I41" s="12">
        <f t="shared" si="35"/>
        <v>0.81</v>
      </c>
      <c r="J41" s="12">
        <f t="shared" si="35"/>
        <v>0.81</v>
      </c>
      <c r="K41" s="12">
        <f t="shared" si="35"/>
        <v>1</v>
      </c>
      <c r="L41" s="12">
        <f t="shared" si="35"/>
        <v>1</v>
      </c>
      <c r="M41" s="12">
        <f t="shared" si="35"/>
        <v>0.90500000000000003</v>
      </c>
      <c r="N41" s="12">
        <f t="shared" si="35"/>
        <v>0.65500000000000003</v>
      </c>
      <c r="O41" s="12">
        <f t="shared" si="35"/>
        <v>0.43</v>
      </c>
      <c r="P41" s="12">
        <f t="shared" si="35"/>
        <v>0.33499999999999996</v>
      </c>
      <c r="Q41" s="12">
        <f t="shared" si="35"/>
        <v>0.33499999999999996</v>
      </c>
      <c r="R41" s="12">
        <f t="shared" si="35"/>
        <v>0.43</v>
      </c>
      <c r="S41" s="12">
        <f t="shared" si="35"/>
        <v>0.65500000000000003</v>
      </c>
      <c r="T41" s="13">
        <f t="shared" si="35"/>
        <v>0.90500000000000003</v>
      </c>
      <c r="U41" s="14"/>
      <c r="V41" s="11">
        <f t="shared" si="35"/>
        <v>87.5</v>
      </c>
      <c r="W41" s="7"/>
      <c r="X41" s="12">
        <f t="shared" si="35"/>
        <v>0.73</v>
      </c>
      <c r="Y41" s="12">
        <f t="shared" si="35"/>
        <v>0.57999999999999996</v>
      </c>
      <c r="Z41" s="12">
        <f t="shared" si="35"/>
        <v>0.57999999999999996</v>
      </c>
      <c r="AA41" s="12">
        <f t="shared" si="35"/>
        <v>0.52</v>
      </c>
      <c r="AB41" s="12">
        <f t="shared" si="35"/>
        <v>0.52</v>
      </c>
      <c r="AC41" s="12">
        <f t="shared" si="35"/>
        <v>0.62</v>
      </c>
      <c r="AD41" s="12">
        <f t="shared" si="35"/>
        <v>0.62</v>
      </c>
      <c r="AE41" s="12">
        <f t="shared" si="35"/>
        <v>0.85</v>
      </c>
      <c r="AF41" s="12">
        <f t="shared" si="35"/>
        <v>0.85</v>
      </c>
      <c r="AG41" s="12">
        <f t="shared" si="35"/>
        <v>0.73499999999999999</v>
      </c>
      <c r="AH41" s="12">
        <f t="shared" si="35"/>
        <v>0.57000000000000006</v>
      </c>
      <c r="AI41" s="12">
        <f t="shared" si="35"/>
        <v>0.55000000000000004</v>
      </c>
      <c r="AJ41" s="12">
        <f t="shared" si="35"/>
        <v>0.65500000000000003</v>
      </c>
      <c r="AK41" s="12">
        <f t="shared" si="35"/>
        <v>0.65500000000000003</v>
      </c>
      <c r="AL41" s="12">
        <f t="shared" si="35"/>
        <v>0.55000000000000004</v>
      </c>
      <c r="AM41" s="12">
        <f t="shared" si="35"/>
        <v>0.57000000000000006</v>
      </c>
      <c r="AN41" s="12">
        <f t="shared" si="35"/>
        <v>0.73499999999999999</v>
      </c>
    </row>
    <row r="42" spans="2:40">
      <c r="B42" s="7">
        <v>90</v>
      </c>
      <c r="C42" s="8" t="s">
        <v>35</v>
      </c>
      <c r="D42" s="9" t="s">
        <v>87</v>
      </c>
      <c r="E42" s="9" t="s">
        <v>74</v>
      </c>
      <c r="F42" s="9" t="s">
        <v>74</v>
      </c>
      <c r="G42" s="9" t="s">
        <v>85</v>
      </c>
      <c r="H42" s="9" t="s">
        <v>85</v>
      </c>
      <c r="I42" s="9" t="s">
        <v>61</v>
      </c>
      <c r="J42" s="9" t="s">
        <v>61</v>
      </c>
      <c r="K42" s="9" t="s">
        <v>36</v>
      </c>
      <c r="L42" s="9" t="str">
        <f t="shared" si="1"/>
        <v>1,00</v>
      </c>
      <c r="M42" s="9">
        <f t="shared" si="2"/>
        <v>0.90500000000000003</v>
      </c>
      <c r="N42" s="9">
        <f t="shared" si="3"/>
        <v>0.65500000000000003</v>
      </c>
      <c r="O42" s="9">
        <f t="shared" si="4"/>
        <v>0.43</v>
      </c>
      <c r="P42" s="9">
        <f t="shared" si="5"/>
        <v>0.33499999999999996</v>
      </c>
      <c r="Q42" s="9">
        <f t="shared" si="6"/>
        <v>0.33499999999999996</v>
      </c>
      <c r="R42" s="9">
        <f t="shared" si="7"/>
        <v>0.43</v>
      </c>
      <c r="S42" s="9">
        <f t="shared" si="8"/>
        <v>0.65500000000000003</v>
      </c>
      <c r="T42" s="10">
        <f t="shared" si="9"/>
        <v>0.90500000000000003</v>
      </c>
      <c r="U42" s="2"/>
      <c r="V42" s="11">
        <v>90</v>
      </c>
      <c r="W42" s="8" t="s">
        <v>37</v>
      </c>
      <c r="X42" s="9" t="s">
        <v>53</v>
      </c>
      <c r="Y42" s="9" t="s">
        <v>88</v>
      </c>
      <c r="Z42" s="9" t="s">
        <v>88</v>
      </c>
      <c r="AA42" s="9" t="s">
        <v>80</v>
      </c>
      <c r="AB42" s="9" t="s">
        <v>80</v>
      </c>
      <c r="AC42" s="9" t="s">
        <v>58</v>
      </c>
      <c r="AD42" s="9" t="s">
        <v>58</v>
      </c>
      <c r="AE42" s="9" t="s">
        <v>60</v>
      </c>
      <c r="AF42" s="9" t="str">
        <f t="shared" si="10"/>
        <v>0,85</v>
      </c>
      <c r="AG42" s="9">
        <f t="shared" si="11"/>
        <v>0.73499999999999999</v>
      </c>
      <c r="AH42" s="9">
        <f t="shared" si="12"/>
        <v>0.57000000000000006</v>
      </c>
      <c r="AI42" s="9">
        <f t="shared" si="13"/>
        <v>0.55000000000000004</v>
      </c>
      <c r="AJ42" s="9">
        <f t="shared" si="14"/>
        <v>0.65500000000000003</v>
      </c>
      <c r="AK42" s="9">
        <f t="shared" si="15"/>
        <v>0.65500000000000003</v>
      </c>
      <c r="AL42" s="9">
        <f t="shared" si="16"/>
        <v>0.55000000000000004</v>
      </c>
      <c r="AM42" s="9">
        <f t="shared" si="17"/>
        <v>0.57000000000000006</v>
      </c>
      <c r="AN42" s="9">
        <f t="shared" si="18"/>
        <v>0.73499999999999999</v>
      </c>
    </row>
    <row r="45" spans="2:40" ht="14.4">
      <c r="B45" s="859" t="s">
        <v>131</v>
      </c>
      <c r="C45" s="859"/>
      <c r="D45" s="859"/>
      <c r="E45" s="859"/>
      <c r="F45" s="859"/>
      <c r="G45" s="859"/>
      <c r="H45" s="859"/>
      <c r="I45" s="859"/>
      <c r="J45" s="859"/>
      <c r="K45" s="859"/>
      <c r="L45" s="859"/>
      <c r="M45" s="859"/>
      <c r="N45" s="859"/>
      <c r="O45" s="859"/>
      <c r="P45" s="859"/>
      <c r="Q45" s="859"/>
      <c r="R45" s="859"/>
      <c r="S45" s="859"/>
      <c r="T45" s="859"/>
      <c r="U45" s="859"/>
      <c r="V45" s="859" t="s">
        <v>132</v>
      </c>
      <c r="W45" s="859"/>
      <c r="X45" s="859"/>
      <c r="Y45" s="859"/>
      <c r="Z45" s="859"/>
      <c r="AA45" s="859"/>
      <c r="AB45" s="859"/>
      <c r="AC45" s="859"/>
      <c r="AD45" s="859"/>
      <c r="AE45" s="859"/>
      <c r="AF45" s="859"/>
    </row>
    <row r="46" spans="2:40">
      <c r="B46" s="860" t="s">
        <v>91</v>
      </c>
      <c r="C46" s="852" t="s">
        <v>33</v>
      </c>
      <c r="D46" s="854" t="s">
        <v>34</v>
      </c>
      <c r="E46" s="855"/>
      <c r="F46" s="855"/>
      <c r="G46" s="855"/>
      <c r="H46" s="855"/>
      <c r="I46" s="855"/>
      <c r="J46" s="855"/>
      <c r="K46" s="856"/>
      <c r="L46" s="15"/>
      <c r="M46" s="15"/>
      <c r="N46" s="15"/>
      <c r="O46" s="15"/>
      <c r="P46" s="15"/>
      <c r="Q46" s="15"/>
      <c r="R46" s="15"/>
      <c r="S46" s="15"/>
      <c r="T46" s="15"/>
      <c r="U46" s="16"/>
      <c r="V46" s="860" t="s">
        <v>91</v>
      </c>
      <c r="W46" s="852" t="s">
        <v>33</v>
      </c>
      <c r="X46" s="854" t="s">
        <v>34</v>
      </c>
      <c r="Y46" s="855"/>
      <c r="Z46" s="855"/>
      <c r="AA46" s="855"/>
      <c r="AB46" s="855"/>
      <c r="AC46" s="855"/>
      <c r="AD46" s="855"/>
      <c r="AE46" s="856"/>
      <c r="AF46" s="16"/>
    </row>
    <row r="47" spans="2:40">
      <c r="B47" s="861"/>
      <c r="C47" s="853"/>
      <c r="D47" s="4">
        <v>180</v>
      </c>
      <c r="E47" s="4">
        <v>135</v>
      </c>
      <c r="F47" s="4">
        <v>225</v>
      </c>
      <c r="G47" s="4">
        <v>90</v>
      </c>
      <c r="H47" s="4">
        <v>270</v>
      </c>
      <c r="I47" s="4">
        <v>45</v>
      </c>
      <c r="J47" s="4">
        <v>315</v>
      </c>
      <c r="K47" s="5">
        <v>0</v>
      </c>
      <c r="L47" s="6">
        <v>360</v>
      </c>
      <c r="M47" s="6">
        <f>0.5*(K47+I47)</f>
        <v>22.5</v>
      </c>
      <c r="N47" s="6">
        <f>0.5*(I47+G47)</f>
        <v>67.5</v>
      </c>
      <c r="O47" s="6">
        <f>0.5*(G47+E47)</f>
        <v>112.5</v>
      </c>
      <c r="P47" s="6">
        <f>0.5*(E47+D47)</f>
        <v>157.5</v>
      </c>
      <c r="Q47" s="6">
        <f>0.5*(D47+F47)</f>
        <v>202.5</v>
      </c>
      <c r="R47" s="6">
        <f>0.5*(F47+H47)</f>
        <v>247.5</v>
      </c>
      <c r="S47" s="6">
        <f>0.5*(H47+J47)</f>
        <v>292.5</v>
      </c>
      <c r="T47" s="6">
        <f>0.5*(J47+L47)</f>
        <v>337.5</v>
      </c>
      <c r="U47" s="16"/>
      <c r="V47" s="861"/>
      <c r="W47" s="853"/>
      <c r="X47" s="4">
        <v>180</v>
      </c>
      <c r="Y47" s="4">
        <v>135</v>
      </c>
      <c r="Z47" s="4">
        <v>225</v>
      </c>
      <c r="AA47" s="4">
        <v>90</v>
      </c>
      <c r="AB47" s="4">
        <v>270</v>
      </c>
      <c r="AC47" s="4">
        <v>45</v>
      </c>
      <c r="AD47" s="4">
        <v>315</v>
      </c>
      <c r="AE47" s="5">
        <v>0</v>
      </c>
      <c r="AF47" s="6">
        <v>360</v>
      </c>
      <c r="AG47" s="6">
        <f>0.5*(AE47+AC47)</f>
        <v>22.5</v>
      </c>
      <c r="AH47" s="6">
        <f>0.5*(AC47+AA47)</f>
        <v>67.5</v>
      </c>
      <c r="AI47" s="6">
        <f>0.5*(AA47+Y47)</f>
        <v>112.5</v>
      </c>
      <c r="AJ47" s="6">
        <f>0.5*(Y47+X47)</f>
        <v>157.5</v>
      </c>
      <c r="AK47" s="6">
        <f>0.5*(X47+Z47)</f>
        <v>202.5</v>
      </c>
      <c r="AL47" s="6">
        <f>0.5*(Z47+AB47)</f>
        <v>247.5</v>
      </c>
      <c r="AM47" s="6">
        <f>0.5*(AB47+AD47)</f>
        <v>292.5</v>
      </c>
      <c r="AN47" s="6">
        <f>0.5*(AD47+AF47)</f>
        <v>337.5</v>
      </c>
    </row>
    <row r="48" spans="2:40">
      <c r="B48" s="17">
        <v>0</v>
      </c>
      <c r="C48" s="18" t="s">
        <v>35</v>
      </c>
      <c r="D48" s="19">
        <v>1</v>
      </c>
      <c r="E48" s="19">
        <v>1</v>
      </c>
      <c r="F48" s="19">
        <v>1</v>
      </c>
      <c r="G48" s="19">
        <v>1</v>
      </c>
      <c r="H48" s="19">
        <v>1</v>
      </c>
      <c r="I48" s="19">
        <v>1</v>
      </c>
      <c r="J48" s="19">
        <v>1</v>
      </c>
      <c r="K48" s="19">
        <v>1</v>
      </c>
      <c r="L48" s="9">
        <f>K48</f>
        <v>1</v>
      </c>
      <c r="M48" s="9">
        <f>0.5*(K48+I48)</f>
        <v>1</v>
      </c>
      <c r="N48" s="9">
        <f>0.5*(I48+G48)</f>
        <v>1</v>
      </c>
      <c r="O48" s="9">
        <f>0.5*(G48+E48)</f>
        <v>1</v>
      </c>
      <c r="P48" s="9">
        <f>0.5*(E48+D48)</f>
        <v>1</v>
      </c>
      <c r="Q48" s="9">
        <f>0.5*(D48+F48)</f>
        <v>1</v>
      </c>
      <c r="R48" s="9">
        <f>0.5*(F48+H48)</f>
        <v>1</v>
      </c>
      <c r="S48" s="9">
        <f>0.5*(H48+J48)</f>
        <v>1</v>
      </c>
      <c r="T48" s="10">
        <f>0.5*(J48+L48)</f>
        <v>1</v>
      </c>
      <c r="U48" s="16"/>
      <c r="V48" s="20">
        <v>0</v>
      </c>
      <c r="W48" s="18" t="s">
        <v>37</v>
      </c>
      <c r="X48" s="19">
        <v>1</v>
      </c>
      <c r="Y48" s="19">
        <v>1</v>
      </c>
      <c r="Z48" s="19">
        <v>1</v>
      </c>
      <c r="AA48" s="19">
        <v>1</v>
      </c>
      <c r="AB48" s="19">
        <v>1</v>
      </c>
      <c r="AC48" s="19">
        <v>1</v>
      </c>
      <c r="AD48" s="19">
        <v>1</v>
      </c>
      <c r="AE48" s="19">
        <v>1</v>
      </c>
      <c r="AF48" s="9">
        <f>AE48</f>
        <v>1</v>
      </c>
      <c r="AG48" s="9">
        <f>0.5*(AE48+AC48)</f>
        <v>1</v>
      </c>
      <c r="AH48" s="9">
        <f>0.5*(AC48+AA48)</f>
        <v>1</v>
      </c>
      <c r="AI48" s="9">
        <f>0.5*(AA48+Y48)</f>
        <v>1</v>
      </c>
      <c r="AJ48" s="9">
        <f>0.5*(Y48+X48)</f>
        <v>1</v>
      </c>
      <c r="AK48" s="9">
        <f>0.5*(X48+Z48)</f>
        <v>1</v>
      </c>
      <c r="AL48" s="9">
        <f>0.5*(Z48+AB48)</f>
        <v>1</v>
      </c>
      <c r="AM48" s="9">
        <f>0.5*(AB48+AD48)</f>
        <v>1</v>
      </c>
      <c r="AN48" s="9">
        <f>0.5*(AD48+AF48)</f>
        <v>1</v>
      </c>
    </row>
    <row r="49" spans="2:40">
      <c r="B49" s="7">
        <f>0.5*(B48+B50)</f>
        <v>2.5</v>
      </c>
      <c r="C49" s="7"/>
      <c r="D49" s="12">
        <f t="shared" ref="D49:AN49" si="36">0.5*(D48+D50)</f>
        <v>0.98499999999999999</v>
      </c>
      <c r="E49" s="12">
        <f t="shared" si="36"/>
        <v>0.98499999999999999</v>
      </c>
      <c r="F49" s="12">
        <f t="shared" si="36"/>
        <v>0.98499999999999999</v>
      </c>
      <c r="G49" s="12">
        <f t="shared" si="36"/>
        <v>0.98499999999999999</v>
      </c>
      <c r="H49" s="12">
        <f t="shared" si="36"/>
        <v>0.98499999999999999</v>
      </c>
      <c r="I49" s="12">
        <f t="shared" si="36"/>
        <v>0.98499999999999999</v>
      </c>
      <c r="J49" s="12">
        <f t="shared" si="36"/>
        <v>0.98499999999999999</v>
      </c>
      <c r="K49" s="12">
        <f t="shared" si="36"/>
        <v>0.98</v>
      </c>
      <c r="L49" s="12">
        <f t="shared" si="36"/>
        <v>0.98</v>
      </c>
      <c r="M49" s="12">
        <f t="shared" si="36"/>
        <v>0.98249999999999993</v>
      </c>
      <c r="N49" s="12">
        <f t="shared" si="36"/>
        <v>0.98499999999999999</v>
      </c>
      <c r="O49" s="12">
        <f t="shared" si="36"/>
        <v>0.98499999999999999</v>
      </c>
      <c r="P49" s="12">
        <f t="shared" si="36"/>
        <v>0.98499999999999999</v>
      </c>
      <c r="Q49" s="12">
        <f t="shared" si="36"/>
        <v>0.98499999999999999</v>
      </c>
      <c r="R49" s="12">
        <f t="shared" si="36"/>
        <v>0.98499999999999999</v>
      </c>
      <c r="S49" s="12">
        <f t="shared" si="36"/>
        <v>0.98499999999999999</v>
      </c>
      <c r="T49" s="13">
        <f t="shared" si="36"/>
        <v>0.98249999999999993</v>
      </c>
      <c r="U49" s="14"/>
      <c r="V49" s="11">
        <f t="shared" si="36"/>
        <v>2.5</v>
      </c>
      <c r="W49" s="7"/>
      <c r="X49" s="12">
        <f t="shared" si="36"/>
        <v>0.97499999999999998</v>
      </c>
      <c r="Y49" s="12">
        <f t="shared" si="36"/>
        <v>0.98</v>
      </c>
      <c r="Z49" s="12">
        <f t="shared" si="36"/>
        <v>0.98</v>
      </c>
      <c r="AA49" s="12">
        <f t="shared" si="36"/>
        <v>0.98</v>
      </c>
      <c r="AB49" s="12">
        <f t="shared" si="36"/>
        <v>0.98</v>
      </c>
      <c r="AC49" s="12">
        <f t="shared" si="36"/>
        <v>0.98499999999999999</v>
      </c>
      <c r="AD49" s="12">
        <f t="shared" si="36"/>
        <v>0.98499999999999999</v>
      </c>
      <c r="AE49" s="12">
        <f t="shared" si="36"/>
        <v>0.98499999999999999</v>
      </c>
      <c r="AF49" s="12">
        <f t="shared" si="36"/>
        <v>0.98499999999999999</v>
      </c>
      <c r="AG49" s="12">
        <f t="shared" si="36"/>
        <v>0.98499999999999999</v>
      </c>
      <c r="AH49" s="12">
        <f t="shared" si="36"/>
        <v>0.98249999999999993</v>
      </c>
      <c r="AI49" s="12">
        <f t="shared" si="36"/>
        <v>0.98</v>
      </c>
      <c r="AJ49" s="12">
        <f t="shared" si="36"/>
        <v>0.97750000000000004</v>
      </c>
      <c r="AK49" s="12">
        <f t="shared" si="36"/>
        <v>0.97750000000000004</v>
      </c>
      <c r="AL49" s="12">
        <f t="shared" si="36"/>
        <v>0.98</v>
      </c>
      <c r="AM49" s="12">
        <f t="shared" si="36"/>
        <v>0.98249999999999993</v>
      </c>
      <c r="AN49" s="12">
        <f t="shared" si="36"/>
        <v>0.98499999999999999</v>
      </c>
    </row>
    <row r="50" spans="2:40">
      <c r="B50" s="17">
        <v>5</v>
      </c>
      <c r="C50" s="18" t="s">
        <v>35</v>
      </c>
      <c r="D50" s="19" t="s">
        <v>39</v>
      </c>
      <c r="E50" s="19" t="s">
        <v>39</v>
      </c>
      <c r="F50" s="19" t="s">
        <v>39</v>
      </c>
      <c r="G50" s="19" t="s">
        <v>39</v>
      </c>
      <c r="H50" s="19" t="s">
        <v>39</v>
      </c>
      <c r="I50" s="19" t="s">
        <v>39</v>
      </c>
      <c r="J50" s="19" t="s">
        <v>39</v>
      </c>
      <c r="K50" s="19" t="s">
        <v>40</v>
      </c>
      <c r="L50" s="9" t="str">
        <f t="shared" ref="L50:L84" si="37">K50</f>
        <v>0,96</v>
      </c>
      <c r="M50" s="9">
        <f t="shared" ref="M50:M84" si="38">0.5*(K50+I50)</f>
        <v>0.96499999999999997</v>
      </c>
      <c r="N50" s="9">
        <f t="shared" ref="N50:N84" si="39">0.5*(I50+G50)</f>
        <v>0.97</v>
      </c>
      <c r="O50" s="9">
        <f t="shared" ref="O50:O84" si="40">0.5*(G50+E50)</f>
        <v>0.97</v>
      </c>
      <c r="P50" s="9">
        <f t="shared" ref="P50:P84" si="41">0.5*(E50+D50)</f>
        <v>0.97</v>
      </c>
      <c r="Q50" s="9">
        <f t="shared" ref="Q50:Q84" si="42">0.5*(D50+F50)</f>
        <v>0.97</v>
      </c>
      <c r="R50" s="9">
        <f t="shared" ref="R50:R84" si="43">0.5*(F50+H50)</f>
        <v>0.97</v>
      </c>
      <c r="S50" s="9">
        <f t="shared" ref="S50:S84" si="44">0.5*(H50+J50)</f>
        <v>0.97</v>
      </c>
      <c r="T50" s="10">
        <f t="shared" ref="T50:T84" si="45">0.5*(J50+L50)</f>
        <v>0.96499999999999997</v>
      </c>
      <c r="U50" s="16"/>
      <c r="V50" s="20">
        <v>5</v>
      </c>
      <c r="W50" s="18" t="s">
        <v>37</v>
      </c>
      <c r="X50" s="19" t="s">
        <v>41</v>
      </c>
      <c r="Y50" s="19" t="s">
        <v>40</v>
      </c>
      <c r="Z50" s="19" t="s">
        <v>40</v>
      </c>
      <c r="AA50" s="19" t="s">
        <v>40</v>
      </c>
      <c r="AB50" s="19" t="s">
        <v>40</v>
      </c>
      <c r="AC50" s="19" t="s">
        <v>39</v>
      </c>
      <c r="AD50" s="19" t="s">
        <v>39</v>
      </c>
      <c r="AE50" s="19" t="s">
        <v>39</v>
      </c>
      <c r="AF50" s="9" t="str">
        <f t="shared" ref="AF50:AF84" si="46">AE50</f>
        <v>0,97</v>
      </c>
      <c r="AG50" s="9">
        <f t="shared" ref="AG50:AG84" si="47">0.5*(AE50+AC50)</f>
        <v>0.97</v>
      </c>
      <c r="AH50" s="9">
        <f t="shared" ref="AH50:AH84" si="48">0.5*(AC50+AA50)</f>
        <v>0.96499999999999997</v>
      </c>
      <c r="AI50" s="9">
        <f t="shared" ref="AI50:AI84" si="49">0.5*(AA50+Y50)</f>
        <v>0.96</v>
      </c>
      <c r="AJ50" s="9">
        <f t="shared" ref="AJ50:AJ84" si="50">0.5*(Y50+X50)</f>
        <v>0.95499999999999996</v>
      </c>
      <c r="AK50" s="9">
        <f t="shared" ref="AK50:AK84" si="51">0.5*(X50+Z50)</f>
        <v>0.95499999999999996</v>
      </c>
      <c r="AL50" s="9">
        <f t="shared" ref="AL50:AL84" si="52">0.5*(Z50+AB50)</f>
        <v>0.96</v>
      </c>
      <c r="AM50" s="9">
        <f t="shared" ref="AM50:AM84" si="53">0.5*(AB50+AD50)</f>
        <v>0.96499999999999997</v>
      </c>
      <c r="AN50" s="9">
        <f t="shared" ref="AN50:AN84" si="54">0.5*(AD50+AF50)</f>
        <v>0.97</v>
      </c>
    </row>
    <row r="51" spans="2:40">
      <c r="B51" s="7">
        <f>0.5*(B50+B52)</f>
        <v>7.5</v>
      </c>
      <c r="C51" s="7"/>
      <c r="D51" s="12">
        <f t="shared" ref="D51" si="55">0.5*(D50+D52)</f>
        <v>0.95499999999999996</v>
      </c>
      <c r="E51" s="12">
        <f t="shared" ref="E51" si="56">0.5*(E50+E52)</f>
        <v>0.95499999999999996</v>
      </c>
      <c r="F51" s="12">
        <f t="shared" ref="F51" si="57">0.5*(F50+F52)</f>
        <v>0.95499999999999996</v>
      </c>
      <c r="G51" s="12">
        <f t="shared" ref="G51" si="58">0.5*(G50+G52)</f>
        <v>0.95499999999999996</v>
      </c>
      <c r="H51" s="12">
        <f t="shared" ref="H51" si="59">0.5*(H50+H52)</f>
        <v>0.95499999999999996</v>
      </c>
      <c r="I51" s="12">
        <f t="shared" ref="I51" si="60">0.5*(I50+I52)</f>
        <v>0.95</v>
      </c>
      <c r="J51" s="12">
        <f t="shared" ref="J51" si="61">0.5*(J50+J52)</f>
        <v>0.95</v>
      </c>
      <c r="K51" s="12">
        <f t="shared" ref="K51" si="62">0.5*(K50+K52)</f>
        <v>0.94</v>
      </c>
      <c r="L51" s="12">
        <f t="shared" ref="L51" si="63">0.5*(L50+L52)</f>
        <v>0.94</v>
      </c>
      <c r="M51" s="12">
        <f t="shared" ref="M51" si="64">0.5*(M50+M52)</f>
        <v>0.94500000000000006</v>
      </c>
      <c r="N51" s="12">
        <f t="shared" ref="N51" si="65">0.5*(N50+N52)</f>
        <v>0.95250000000000001</v>
      </c>
      <c r="O51" s="12">
        <f t="shared" ref="O51" si="66">0.5*(O50+O52)</f>
        <v>0.95499999999999996</v>
      </c>
      <c r="P51" s="12">
        <f t="shared" ref="P51" si="67">0.5*(P50+P52)</f>
        <v>0.95499999999999996</v>
      </c>
      <c r="Q51" s="12">
        <f t="shared" ref="Q51" si="68">0.5*(Q50+Q52)</f>
        <v>0.95499999999999996</v>
      </c>
      <c r="R51" s="12">
        <f t="shared" ref="R51" si="69">0.5*(R50+R52)</f>
        <v>0.95499999999999996</v>
      </c>
      <c r="S51" s="12">
        <f t="shared" ref="S51" si="70">0.5*(S50+S52)</f>
        <v>0.95250000000000001</v>
      </c>
      <c r="T51" s="13">
        <f t="shared" ref="T51" si="71">0.5*(T50+T52)</f>
        <v>0.94500000000000006</v>
      </c>
      <c r="U51" s="14"/>
      <c r="V51" s="11">
        <f t="shared" ref="V51" si="72">0.5*(V50+V52)</f>
        <v>7.5</v>
      </c>
      <c r="W51" s="7"/>
      <c r="X51" s="12">
        <f t="shared" ref="X51" si="73">0.5*(X50+X52)</f>
        <v>0.91999999999999993</v>
      </c>
      <c r="Y51" s="12">
        <f t="shared" ref="Y51" si="74">0.5*(Y50+Y52)</f>
        <v>0.93500000000000005</v>
      </c>
      <c r="Z51" s="12">
        <f t="shared" ref="Z51" si="75">0.5*(Z50+Z52)</f>
        <v>0.93500000000000005</v>
      </c>
      <c r="AA51" s="12">
        <f t="shared" ref="AA51" si="76">0.5*(AA50+AA52)</f>
        <v>0.94500000000000006</v>
      </c>
      <c r="AB51" s="12">
        <f t="shared" ref="AB51" si="77">0.5*(AB50+AB52)</f>
        <v>0.94500000000000006</v>
      </c>
      <c r="AC51" s="12">
        <f t="shared" ref="AC51" si="78">0.5*(AC50+AC52)</f>
        <v>0.95</v>
      </c>
      <c r="AD51" s="12">
        <f t="shared" ref="AD51" si="79">0.5*(AD50+AD52)</f>
        <v>0.95</v>
      </c>
      <c r="AE51" s="12">
        <f t="shared" ref="AE51" si="80">0.5*(AE50+AE52)</f>
        <v>0.95499999999999996</v>
      </c>
      <c r="AF51" s="12">
        <f t="shared" ref="AF51" si="81">0.5*(AF50+AF52)</f>
        <v>0.95499999999999996</v>
      </c>
      <c r="AG51" s="12">
        <f t="shared" ref="AG51" si="82">0.5*(AG50+AG52)</f>
        <v>0.95250000000000001</v>
      </c>
      <c r="AH51" s="12">
        <f t="shared" ref="AH51" si="83">0.5*(AH50+AH52)</f>
        <v>0.94750000000000001</v>
      </c>
      <c r="AI51" s="12">
        <f t="shared" ref="AI51" si="84">0.5*(AI50+AI52)</f>
        <v>0.94</v>
      </c>
      <c r="AJ51" s="12">
        <f t="shared" ref="AJ51" si="85">0.5*(AJ50+AJ52)</f>
        <v>0.92749999999999999</v>
      </c>
      <c r="AK51" s="12">
        <f t="shared" ref="AK51" si="86">0.5*(AK50+AK52)</f>
        <v>0.92749999999999999</v>
      </c>
      <c r="AL51" s="12">
        <f t="shared" ref="AL51" si="87">0.5*(AL50+AL52)</f>
        <v>0.94</v>
      </c>
      <c r="AM51" s="12">
        <f t="shared" ref="AM51" si="88">0.5*(AM50+AM52)</f>
        <v>0.94750000000000001</v>
      </c>
      <c r="AN51" s="12">
        <f t="shared" ref="AN51" si="89">0.5*(AN50+AN52)</f>
        <v>0.95250000000000001</v>
      </c>
    </row>
    <row r="52" spans="2:40">
      <c r="B52" s="17">
        <v>10</v>
      </c>
      <c r="C52" s="18" t="s">
        <v>35</v>
      </c>
      <c r="D52" s="19" t="s">
        <v>43</v>
      </c>
      <c r="E52" s="19" t="s">
        <v>43</v>
      </c>
      <c r="F52" s="19" t="s">
        <v>43</v>
      </c>
      <c r="G52" s="19" t="s">
        <v>43</v>
      </c>
      <c r="H52" s="19" t="s">
        <v>43</v>
      </c>
      <c r="I52" s="19" t="s">
        <v>42</v>
      </c>
      <c r="J52" s="19" t="s">
        <v>42</v>
      </c>
      <c r="K52" s="19" t="s">
        <v>44</v>
      </c>
      <c r="L52" s="9" t="str">
        <f t="shared" si="37"/>
        <v>0,92</v>
      </c>
      <c r="M52" s="9">
        <f t="shared" si="38"/>
        <v>0.92500000000000004</v>
      </c>
      <c r="N52" s="9">
        <f t="shared" si="39"/>
        <v>0.93500000000000005</v>
      </c>
      <c r="O52" s="9">
        <f t="shared" si="40"/>
        <v>0.94</v>
      </c>
      <c r="P52" s="9">
        <f t="shared" si="41"/>
        <v>0.94</v>
      </c>
      <c r="Q52" s="9">
        <f t="shared" si="42"/>
        <v>0.94</v>
      </c>
      <c r="R52" s="9">
        <f t="shared" si="43"/>
        <v>0.94</v>
      </c>
      <c r="S52" s="9">
        <f t="shared" si="44"/>
        <v>0.93500000000000005</v>
      </c>
      <c r="T52" s="9">
        <f t="shared" si="45"/>
        <v>0.92500000000000004</v>
      </c>
      <c r="U52" s="16"/>
      <c r="V52" s="21">
        <v>10</v>
      </c>
      <c r="W52" s="18" t="s">
        <v>37</v>
      </c>
      <c r="X52" s="19" t="s">
        <v>46</v>
      </c>
      <c r="Y52" s="19" t="s">
        <v>45</v>
      </c>
      <c r="Z52" s="19" t="s">
        <v>45</v>
      </c>
      <c r="AA52" s="19" t="s">
        <v>42</v>
      </c>
      <c r="AB52" s="19" t="s">
        <v>42</v>
      </c>
      <c r="AC52" s="19" t="s">
        <v>42</v>
      </c>
      <c r="AD52" s="19" t="s">
        <v>42</v>
      </c>
      <c r="AE52" s="19" t="s">
        <v>43</v>
      </c>
      <c r="AF52" s="9" t="str">
        <f t="shared" si="46"/>
        <v>0,94</v>
      </c>
      <c r="AG52" s="9">
        <f t="shared" si="47"/>
        <v>0.93500000000000005</v>
      </c>
      <c r="AH52" s="9">
        <f t="shared" si="48"/>
        <v>0.93</v>
      </c>
      <c r="AI52" s="9">
        <f t="shared" si="49"/>
        <v>0.92</v>
      </c>
      <c r="AJ52" s="9">
        <f t="shared" si="50"/>
        <v>0.9</v>
      </c>
      <c r="AK52" s="9">
        <f t="shared" si="51"/>
        <v>0.9</v>
      </c>
      <c r="AL52" s="9">
        <f t="shared" si="52"/>
        <v>0.92</v>
      </c>
      <c r="AM52" s="9">
        <f t="shared" si="53"/>
        <v>0.93</v>
      </c>
      <c r="AN52" s="9">
        <f t="shared" si="54"/>
        <v>0.93500000000000005</v>
      </c>
    </row>
    <row r="53" spans="2:40">
      <c r="B53" s="7">
        <f>0.5*(B52+B54)</f>
        <v>12.5</v>
      </c>
      <c r="C53" s="7"/>
      <c r="D53" s="12">
        <f t="shared" ref="D53" si="90">0.5*(D52+D54)</f>
        <v>0.92500000000000004</v>
      </c>
      <c r="E53" s="12">
        <f t="shared" ref="E53" si="91">0.5*(E52+E54)</f>
        <v>0.92500000000000004</v>
      </c>
      <c r="F53" s="12">
        <f t="shared" ref="F53" si="92">0.5*(F52+F54)</f>
        <v>0.92500000000000004</v>
      </c>
      <c r="G53" s="12">
        <f t="shared" ref="G53" si="93">0.5*(G52+G54)</f>
        <v>0.92500000000000004</v>
      </c>
      <c r="H53" s="12">
        <f t="shared" ref="H53" si="94">0.5*(H52+H54)</f>
        <v>0.92500000000000004</v>
      </c>
      <c r="I53" s="12">
        <f t="shared" ref="I53" si="95">0.5*(I52+I54)</f>
        <v>0.91500000000000004</v>
      </c>
      <c r="J53" s="12">
        <f t="shared" ref="J53" si="96">0.5*(J52+J54)</f>
        <v>0.91500000000000004</v>
      </c>
      <c r="K53" s="12">
        <f t="shared" ref="K53" si="97">0.5*(K52+K54)</f>
        <v>0.90500000000000003</v>
      </c>
      <c r="L53" s="12">
        <f t="shared" ref="L53" si="98">0.5*(L52+L54)</f>
        <v>0.90500000000000003</v>
      </c>
      <c r="M53" s="12">
        <f t="shared" ref="M53" si="99">0.5*(M52+M54)</f>
        <v>0.91</v>
      </c>
      <c r="N53" s="12">
        <f t="shared" ref="N53" si="100">0.5*(N52+N54)</f>
        <v>0.92</v>
      </c>
      <c r="O53" s="12">
        <f t="shared" ref="O53" si="101">0.5*(O52+O54)</f>
        <v>0.92500000000000004</v>
      </c>
      <c r="P53" s="12">
        <f t="shared" ref="P53" si="102">0.5*(P52+P54)</f>
        <v>0.92500000000000004</v>
      </c>
      <c r="Q53" s="12">
        <f t="shared" ref="Q53" si="103">0.5*(Q52+Q54)</f>
        <v>0.92500000000000004</v>
      </c>
      <c r="R53" s="12">
        <f t="shared" ref="R53" si="104">0.5*(R52+R54)</f>
        <v>0.92500000000000004</v>
      </c>
      <c r="S53" s="12">
        <f t="shared" ref="S53" si="105">0.5*(S52+S54)</f>
        <v>0.92</v>
      </c>
      <c r="T53" s="13">
        <f t="shared" ref="T53" si="106">0.5*(T52+T54)</f>
        <v>0.91</v>
      </c>
      <c r="U53" s="14"/>
      <c r="V53" s="11">
        <f t="shared" ref="V53" si="107">0.5*(V52+V54)</f>
        <v>12.5</v>
      </c>
      <c r="W53" s="7"/>
      <c r="X53" s="12">
        <f t="shared" ref="X53" si="108">0.5*(X52+X54)</f>
        <v>0.86499999999999999</v>
      </c>
      <c r="Y53" s="12">
        <f t="shared" ref="Y53" si="109">0.5*(Y52+Y54)</f>
        <v>0.88500000000000001</v>
      </c>
      <c r="Z53" s="12">
        <f t="shared" ref="Z53" si="110">0.5*(Z52+Z54)</f>
        <v>0.88500000000000001</v>
      </c>
      <c r="AA53" s="12">
        <f t="shared" ref="AA53" si="111">0.5*(AA52+AA54)</f>
        <v>0.91</v>
      </c>
      <c r="AB53" s="12">
        <f t="shared" ref="AB53" si="112">0.5*(AB52+AB54)</f>
        <v>0.91</v>
      </c>
      <c r="AC53" s="12">
        <f t="shared" ref="AC53" si="113">0.5*(AC52+AC54)</f>
        <v>0.91500000000000004</v>
      </c>
      <c r="AD53" s="12">
        <f t="shared" ref="AD53" si="114">0.5*(AD52+AD54)</f>
        <v>0.91500000000000004</v>
      </c>
      <c r="AE53" s="12">
        <f t="shared" ref="AE53" si="115">0.5*(AE52+AE54)</f>
        <v>0.91999999999999993</v>
      </c>
      <c r="AF53" s="12">
        <f t="shared" ref="AF53" si="116">0.5*(AF52+AF54)</f>
        <v>0.91999999999999993</v>
      </c>
      <c r="AG53" s="12">
        <f t="shared" ref="AG53" si="117">0.5*(AG52+AG54)</f>
        <v>0.91749999999999998</v>
      </c>
      <c r="AH53" s="12">
        <f t="shared" ref="AH53" si="118">0.5*(AH52+AH54)</f>
        <v>0.91250000000000009</v>
      </c>
      <c r="AI53" s="12">
        <f t="shared" ref="AI53" si="119">0.5*(AI52+AI54)</f>
        <v>0.89749999999999996</v>
      </c>
      <c r="AJ53" s="12">
        <f t="shared" ref="AJ53" si="120">0.5*(AJ52+AJ54)</f>
        <v>0.875</v>
      </c>
      <c r="AK53" s="12">
        <f t="shared" ref="AK53" si="121">0.5*(AK52+AK54)</f>
        <v>0.875</v>
      </c>
      <c r="AL53" s="12">
        <f t="shared" ref="AL53" si="122">0.5*(AL52+AL54)</f>
        <v>0.89749999999999996</v>
      </c>
      <c r="AM53" s="12">
        <f t="shared" ref="AM53" si="123">0.5*(AM52+AM54)</f>
        <v>0.91250000000000009</v>
      </c>
      <c r="AN53" s="12">
        <f t="shared" ref="AN53" si="124">0.5*(AN52+AN54)</f>
        <v>0.91749999999999998</v>
      </c>
    </row>
    <row r="54" spans="2:40">
      <c r="B54" s="17">
        <v>15</v>
      </c>
      <c r="C54" s="18" t="s">
        <v>35</v>
      </c>
      <c r="D54" s="19" t="s">
        <v>45</v>
      </c>
      <c r="E54" s="19" t="s">
        <v>45</v>
      </c>
      <c r="F54" s="19" t="s">
        <v>45</v>
      </c>
      <c r="G54" s="19" t="s">
        <v>45</v>
      </c>
      <c r="H54" s="19" t="s">
        <v>45</v>
      </c>
      <c r="I54" s="19" t="s">
        <v>48</v>
      </c>
      <c r="J54" s="19" t="s">
        <v>48</v>
      </c>
      <c r="K54" s="19" t="s">
        <v>46</v>
      </c>
      <c r="L54" s="9" t="str">
        <f t="shared" si="37"/>
        <v>0,89</v>
      </c>
      <c r="M54" s="9">
        <f t="shared" si="38"/>
        <v>0.89500000000000002</v>
      </c>
      <c r="N54" s="9">
        <f t="shared" si="39"/>
        <v>0.90500000000000003</v>
      </c>
      <c r="O54" s="9">
        <f t="shared" si="40"/>
        <v>0.91</v>
      </c>
      <c r="P54" s="9">
        <f t="shared" si="41"/>
        <v>0.91</v>
      </c>
      <c r="Q54" s="9">
        <f t="shared" si="42"/>
        <v>0.91</v>
      </c>
      <c r="R54" s="9">
        <f t="shared" si="43"/>
        <v>0.91</v>
      </c>
      <c r="S54" s="9">
        <f t="shared" si="44"/>
        <v>0.90500000000000003</v>
      </c>
      <c r="T54" s="9">
        <f t="shared" si="45"/>
        <v>0.89500000000000002</v>
      </c>
      <c r="U54" s="16"/>
      <c r="V54" s="21">
        <v>15</v>
      </c>
      <c r="W54" s="18" t="s">
        <v>37</v>
      </c>
      <c r="X54" s="19" t="s">
        <v>50</v>
      </c>
      <c r="Y54" s="19" t="s">
        <v>47</v>
      </c>
      <c r="Z54" s="19" t="s">
        <v>47</v>
      </c>
      <c r="AA54" s="19" t="s">
        <v>46</v>
      </c>
      <c r="AB54" s="19" t="s">
        <v>46</v>
      </c>
      <c r="AC54" s="19" t="s">
        <v>48</v>
      </c>
      <c r="AD54" s="19" t="s">
        <v>48</v>
      </c>
      <c r="AE54" s="19" t="s">
        <v>48</v>
      </c>
      <c r="AF54" s="9" t="str">
        <f t="shared" si="46"/>
        <v>0,90</v>
      </c>
      <c r="AG54" s="9">
        <f t="shared" si="47"/>
        <v>0.9</v>
      </c>
      <c r="AH54" s="9">
        <f t="shared" si="48"/>
        <v>0.89500000000000002</v>
      </c>
      <c r="AI54" s="9">
        <f t="shared" si="49"/>
        <v>0.875</v>
      </c>
      <c r="AJ54" s="9">
        <f t="shared" si="50"/>
        <v>0.85</v>
      </c>
      <c r="AK54" s="9">
        <f t="shared" si="51"/>
        <v>0.85</v>
      </c>
      <c r="AL54" s="9">
        <f t="shared" si="52"/>
        <v>0.875</v>
      </c>
      <c r="AM54" s="9">
        <f t="shared" si="53"/>
        <v>0.89500000000000002</v>
      </c>
      <c r="AN54" s="9">
        <f t="shared" si="54"/>
        <v>0.9</v>
      </c>
    </row>
    <row r="55" spans="2:40">
      <c r="B55" s="7">
        <f>0.5*(B54+B56)</f>
        <v>17.5</v>
      </c>
      <c r="C55" s="7"/>
      <c r="D55" s="12">
        <f t="shared" ref="D55" si="125">0.5*(D54+D56)</f>
        <v>0.89</v>
      </c>
      <c r="E55" s="12">
        <f t="shared" ref="E55" si="126">0.5*(E54+E56)</f>
        <v>0.89500000000000002</v>
      </c>
      <c r="F55" s="12">
        <f t="shared" ref="F55" si="127">0.5*(F54+F56)</f>
        <v>0.89500000000000002</v>
      </c>
      <c r="G55" s="12">
        <f t="shared" ref="G55" si="128">0.5*(G54+G56)</f>
        <v>0.89500000000000002</v>
      </c>
      <c r="H55" s="12">
        <f t="shared" ref="H55" si="129">0.5*(H54+H56)</f>
        <v>0.89500000000000002</v>
      </c>
      <c r="I55" s="12">
        <f t="shared" ref="I55" si="130">0.5*(I54+I56)</f>
        <v>0.88</v>
      </c>
      <c r="J55" s="12">
        <f t="shared" ref="J55" si="131">0.5*(J54+J56)</f>
        <v>0.88</v>
      </c>
      <c r="K55" s="12">
        <f t="shared" ref="K55" si="132">0.5*(K54+K56)</f>
        <v>0.87</v>
      </c>
      <c r="L55" s="12">
        <f t="shared" ref="L55" si="133">0.5*(L54+L56)</f>
        <v>0.87</v>
      </c>
      <c r="M55" s="12">
        <f t="shared" ref="M55" si="134">0.5*(M54+M56)</f>
        <v>0.875</v>
      </c>
      <c r="N55" s="12">
        <f t="shared" ref="N55" si="135">0.5*(N54+N56)</f>
        <v>0.88749999999999996</v>
      </c>
      <c r="O55" s="12">
        <f t="shared" ref="O55" si="136">0.5*(O54+O56)</f>
        <v>0.89500000000000002</v>
      </c>
      <c r="P55" s="12">
        <f t="shared" ref="P55" si="137">0.5*(P54+P56)</f>
        <v>0.89250000000000007</v>
      </c>
      <c r="Q55" s="12">
        <f t="shared" ref="Q55" si="138">0.5*(Q54+Q56)</f>
        <v>0.89250000000000007</v>
      </c>
      <c r="R55" s="12">
        <f t="shared" ref="R55" si="139">0.5*(R54+R56)</f>
        <v>0.89500000000000002</v>
      </c>
      <c r="S55" s="12">
        <f t="shared" ref="S55" si="140">0.5*(S54+S56)</f>
        <v>0.88749999999999996</v>
      </c>
      <c r="T55" s="13">
        <f t="shared" ref="T55" si="141">0.5*(T54+T56)</f>
        <v>0.875</v>
      </c>
      <c r="U55" s="14"/>
      <c r="V55" s="11">
        <f t="shared" ref="V55" si="142">0.5*(V54+V56)</f>
        <v>17.5</v>
      </c>
      <c r="W55" s="7"/>
      <c r="X55" s="12">
        <f t="shared" ref="X55" si="143">0.5*(X54+X56)</f>
        <v>0.81</v>
      </c>
      <c r="Y55" s="12">
        <f t="shared" ref="Y55" si="144">0.5*(Y54+Y56)</f>
        <v>0.84</v>
      </c>
      <c r="Z55" s="12">
        <f t="shared" ref="Z55" si="145">0.5*(Z54+Z56)</f>
        <v>0.84</v>
      </c>
      <c r="AA55" s="12">
        <f t="shared" ref="AA55" si="146">0.5*(AA54+AA56)</f>
        <v>0.87</v>
      </c>
      <c r="AB55" s="12">
        <f t="shared" ref="AB55" si="147">0.5*(AB54+AB56)</f>
        <v>0.87</v>
      </c>
      <c r="AC55" s="12">
        <f t="shared" ref="AC55" si="148">0.5*(AC54+AC56)</f>
        <v>0.88500000000000001</v>
      </c>
      <c r="AD55" s="12">
        <f t="shared" ref="AD55" si="149">0.5*(AD54+AD56)</f>
        <v>0.88500000000000001</v>
      </c>
      <c r="AE55" s="12">
        <f t="shared" ref="AE55" si="150">0.5*(AE54+AE56)</f>
        <v>0.88500000000000001</v>
      </c>
      <c r="AF55" s="12">
        <f t="shared" ref="AF55" si="151">0.5*(AF54+AF56)</f>
        <v>0.88500000000000001</v>
      </c>
      <c r="AG55" s="12">
        <f t="shared" ref="AG55" si="152">0.5*(AG54+AG56)</f>
        <v>0.88500000000000001</v>
      </c>
      <c r="AH55" s="12">
        <f t="shared" ref="AH55" si="153">0.5*(AH54+AH56)</f>
        <v>0.87749999999999995</v>
      </c>
      <c r="AI55" s="12">
        <f t="shared" ref="AI55" si="154">0.5*(AI54+AI56)</f>
        <v>0.85499999999999998</v>
      </c>
      <c r="AJ55" s="12">
        <f t="shared" ref="AJ55" si="155">0.5*(AJ54+AJ56)</f>
        <v>0.82499999999999996</v>
      </c>
      <c r="AK55" s="12">
        <f t="shared" ref="AK55" si="156">0.5*(AK54+AK56)</f>
        <v>0.82499999999999996</v>
      </c>
      <c r="AL55" s="12">
        <f t="shared" ref="AL55" si="157">0.5*(AL54+AL56)</f>
        <v>0.85499999999999998</v>
      </c>
      <c r="AM55" s="12">
        <f t="shared" ref="AM55" si="158">0.5*(AM54+AM56)</f>
        <v>0.87749999999999995</v>
      </c>
      <c r="AN55" s="12">
        <f t="shared" ref="AN55" si="159">0.5*(AN54+AN56)</f>
        <v>0.88500000000000001</v>
      </c>
    </row>
    <row r="56" spans="2:40">
      <c r="B56" s="17">
        <v>20</v>
      </c>
      <c r="C56" s="18" t="s">
        <v>35</v>
      </c>
      <c r="D56" s="19" t="s">
        <v>52</v>
      </c>
      <c r="E56" s="19" t="s">
        <v>49</v>
      </c>
      <c r="F56" s="19" t="s">
        <v>49</v>
      </c>
      <c r="G56" s="19" t="s">
        <v>49</v>
      </c>
      <c r="H56" s="19" t="s">
        <v>49</v>
      </c>
      <c r="I56" s="19" t="s">
        <v>47</v>
      </c>
      <c r="J56" s="19" t="s">
        <v>47</v>
      </c>
      <c r="K56" s="19" t="s">
        <v>60</v>
      </c>
      <c r="L56" s="9" t="str">
        <f t="shared" si="37"/>
        <v>0,85</v>
      </c>
      <c r="M56" s="9">
        <f t="shared" si="38"/>
        <v>0.85499999999999998</v>
      </c>
      <c r="N56" s="9">
        <f t="shared" si="39"/>
        <v>0.87</v>
      </c>
      <c r="O56" s="9">
        <f t="shared" si="40"/>
        <v>0.88</v>
      </c>
      <c r="P56" s="9">
        <f t="shared" si="41"/>
        <v>0.875</v>
      </c>
      <c r="Q56" s="9">
        <f t="shared" si="42"/>
        <v>0.875</v>
      </c>
      <c r="R56" s="9">
        <f t="shared" si="43"/>
        <v>0.88</v>
      </c>
      <c r="S56" s="9">
        <f t="shared" si="44"/>
        <v>0.87</v>
      </c>
      <c r="T56" s="9">
        <f t="shared" si="45"/>
        <v>0.85499999999999998</v>
      </c>
      <c r="U56" s="16"/>
      <c r="V56" s="21">
        <v>20</v>
      </c>
      <c r="W56" s="18" t="s">
        <v>37</v>
      </c>
      <c r="X56" s="19" t="s">
        <v>71</v>
      </c>
      <c r="Y56" s="19" t="s">
        <v>56</v>
      </c>
      <c r="Z56" s="19" t="s">
        <v>56</v>
      </c>
      <c r="AA56" s="19" t="s">
        <v>60</v>
      </c>
      <c r="AB56" s="19" t="s">
        <v>60</v>
      </c>
      <c r="AC56" s="19" t="s">
        <v>52</v>
      </c>
      <c r="AD56" s="19" t="s">
        <v>52</v>
      </c>
      <c r="AE56" s="19" t="s">
        <v>52</v>
      </c>
      <c r="AF56" s="9" t="str">
        <f t="shared" si="46"/>
        <v>0,87</v>
      </c>
      <c r="AG56" s="9">
        <f t="shared" si="47"/>
        <v>0.87</v>
      </c>
      <c r="AH56" s="9">
        <f t="shared" si="48"/>
        <v>0.86</v>
      </c>
      <c r="AI56" s="9">
        <f t="shared" si="49"/>
        <v>0.83499999999999996</v>
      </c>
      <c r="AJ56" s="9">
        <f t="shared" si="50"/>
        <v>0.8</v>
      </c>
      <c r="AK56" s="9">
        <f t="shared" si="51"/>
        <v>0.8</v>
      </c>
      <c r="AL56" s="9">
        <f t="shared" si="52"/>
        <v>0.83499999999999996</v>
      </c>
      <c r="AM56" s="9">
        <f t="shared" si="53"/>
        <v>0.86</v>
      </c>
      <c r="AN56" s="9">
        <f t="shared" si="54"/>
        <v>0.87</v>
      </c>
    </row>
    <row r="57" spans="2:40">
      <c r="B57" s="7">
        <f>0.5*(B56+B58)</f>
        <v>22.5</v>
      </c>
      <c r="C57" s="7"/>
      <c r="D57" s="12">
        <f t="shared" ref="D57" si="160">0.5*(D56+D58)</f>
        <v>0.85499999999999998</v>
      </c>
      <c r="E57" s="12">
        <f t="shared" ref="E57" si="161">0.5*(E56+E58)</f>
        <v>0.86</v>
      </c>
      <c r="F57" s="12">
        <f t="shared" ref="F57" si="162">0.5*(F56+F58)</f>
        <v>0.86</v>
      </c>
      <c r="G57" s="12">
        <f t="shared" ref="G57" si="163">0.5*(G56+G58)</f>
        <v>0.86499999999999999</v>
      </c>
      <c r="H57" s="12">
        <f t="shared" ref="H57" si="164">0.5*(H56+H58)</f>
        <v>0.86499999999999999</v>
      </c>
      <c r="I57" s="12">
        <f t="shared" ref="I57" si="165">0.5*(I56+I58)</f>
        <v>0.84499999999999997</v>
      </c>
      <c r="J57" s="12">
        <f t="shared" ref="J57" si="166">0.5*(J56+J58)</f>
        <v>0.84499999999999997</v>
      </c>
      <c r="K57" s="12">
        <f t="shared" ref="K57" si="167">0.5*(K56+K58)</f>
        <v>0.83000000000000007</v>
      </c>
      <c r="L57" s="12">
        <f t="shared" ref="L57" si="168">0.5*(L56+L58)</f>
        <v>0.83000000000000007</v>
      </c>
      <c r="M57" s="12">
        <f t="shared" ref="M57" si="169">0.5*(M56+M58)</f>
        <v>0.83750000000000002</v>
      </c>
      <c r="N57" s="12">
        <f t="shared" ref="N57" si="170">0.5*(N56+N58)</f>
        <v>0.85499999999999998</v>
      </c>
      <c r="O57" s="12">
        <f t="shared" ref="O57" si="171">0.5*(O56+O58)</f>
        <v>0.86250000000000004</v>
      </c>
      <c r="P57" s="12">
        <f t="shared" ref="P57" si="172">0.5*(P56+P58)</f>
        <v>0.85749999999999993</v>
      </c>
      <c r="Q57" s="12">
        <f t="shared" ref="Q57" si="173">0.5*(Q56+Q58)</f>
        <v>0.85749999999999993</v>
      </c>
      <c r="R57" s="12">
        <f t="shared" ref="R57" si="174">0.5*(R56+R58)</f>
        <v>0.86250000000000004</v>
      </c>
      <c r="S57" s="12">
        <f t="shared" ref="S57" si="175">0.5*(S56+S58)</f>
        <v>0.85499999999999998</v>
      </c>
      <c r="T57" s="13">
        <f t="shared" ref="T57" si="176">0.5*(T56+T58)</f>
        <v>0.83750000000000002</v>
      </c>
      <c r="U57" s="14"/>
      <c r="V57" s="11">
        <f t="shared" ref="V57" si="177">0.5*(V56+V58)</f>
        <v>22.5</v>
      </c>
      <c r="W57" s="7"/>
      <c r="X57" s="12">
        <f t="shared" ref="X57" si="178">0.5*(X56+X58)</f>
        <v>0.755</v>
      </c>
      <c r="Y57" s="12">
        <f t="shared" ref="Y57" si="179">0.5*(Y56+Y58)</f>
        <v>0.79499999999999993</v>
      </c>
      <c r="Z57" s="12">
        <f t="shared" ref="Z57" si="180">0.5*(Z56+Z58)</f>
        <v>0.79499999999999993</v>
      </c>
      <c r="AA57" s="12">
        <f t="shared" ref="AA57" si="181">0.5*(AA56+AA58)</f>
        <v>0.83000000000000007</v>
      </c>
      <c r="AB57" s="12">
        <f t="shared" ref="AB57" si="182">0.5*(AB56+AB58)</f>
        <v>0.83000000000000007</v>
      </c>
      <c r="AC57" s="12">
        <f t="shared" ref="AC57" si="183">0.5*(AC56+AC58)</f>
        <v>0.85</v>
      </c>
      <c r="AD57" s="12">
        <f t="shared" ref="AD57" si="184">0.5*(AD56+AD58)</f>
        <v>0.85</v>
      </c>
      <c r="AE57" s="12">
        <f t="shared" ref="AE57" si="185">0.5*(AE56+AE58)</f>
        <v>0.85499999999999998</v>
      </c>
      <c r="AF57" s="12">
        <f t="shared" ref="AF57" si="186">0.5*(AF56+AF58)</f>
        <v>0.85499999999999998</v>
      </c>
      <c r="AG57" s="12">
        <f t="shared" ref="AG57" si="187">0.5*(AG56+AG58)</f>
        <v>0.85250000000000004</v>
      </c>
      <c r="AH57" s="12">
        <f t="shared" ref="AH57" si="188">0.5*(AH56+AH58)</f>
        <v>0.84000000000000008</v>
      </c>
      <c r="AI57" s="12">
        <f t="shared" ref="AI57" si="189">0.5*(AI56+AI58)</f>
        <v>0.8125</v>
      </c>
      <c r="AJ57" s="12">
        <f t="shared" ref="AJ57" si="190">0.5*(AJ56+AJ58)</f>
        <v>0.77500000000000002</v>
      </c>
      <c r="AK57" s="12">
        <f t="shared" ref="AK57" si="191">0.5*(AK56+AK58)</f>
        <v>0.77500000000000002</v>
      </c>
      <c r="AL57" s="12">
        <f t="shared" ref="AL57" si="192">0.5*(AL56+AL58)</f>
        <v>0.8125</v>
      </c>
      <c r="AM57" s="12">
        <f t="shared" ref="AM57" si="193">0.5*(AM56+AM58)</f>
        <v>0.84000000000000008</v>
      </c>
      <c r="AN57" s="12">
        <f t="shared" ref="AN57" si="194">0.5*(AN56+AN58)</f>
        <v>0.85250000000000004</v>
      </c>
    </row>
    <row r="58" spans="2:40">
      <c r="B58" s="17">
        <v>25</v>
      </c>
      <c r="C58" s="18" t="s">
        <v>35</v>
      </c>
      <c r="D58" s="19" t="s">
        <v>50</v>
      </c>
      <c r="E58" s="19" t="s">
        <v>50</v>
      </c>
      <c r="F58" s="19" t="s">
        <v>50</v>
      </c>
      <c r="G58" s="19" t="s">
        <v>60</v>
      </c>
      <c r="H58" s="19" t="s">
        <v>60</v>
      </c>
      <c r="I58" s="19" t="s">
        <v>55</v>
      </c>
      <c r="J58" s="19" t="s">
        <v>55</v>
      </c>
      <c r="K58" s="19" t="s">
        <v>61</v>
      </c>
      <c r="L58" s="9" t="str">
        <f t="shared" si="37"/>
        <v>0,81</v>
      </c>
      <c r="M58" s="9">
        <f t="shared" si="38"/>
        <v>0.82000000000000006</v>
      </c>
      <c r="N58" s="9">
        <f t="shared" si="39"/>
        <v>0.84</v>
      </c>
      <c r="O58" s="9">
        <f t="shared" si="40"/>
        <v>0.84499999999999997</v>
      </c>
      <c r="P58" s="9">
        <f t="shared" si="41"/>
        <v>0.84</v>
      </c>
      <c r="Q58" s="9">
        <f t="shared" si="42"/>
        <v>0.84</v>
      </c>
      <c r="R58" s="9">
        <f t="shared" si="43"/>
        <v>0.84499999999999997</v>
      </c>
      <c r="S58" s="9">
        <f t="shared" si="44"/>
        <v>0.84</v>
      </c>
      <c r="T58" s="9">
        <f t="shared" si="45"/>
        <v>0.82000000000000006</v>
      </c>
      <c r="U58" s="16"/>
      <c r="V58" s="21">
        <v>25</v>
      </c>
      <c r="W58" s="18" t="s">
        <v>37</v>
      </c>
      <c r="X58" s="19" t="s">
        <v>53</v>
      </c>
      <c r="Y58" s="19" t="s">
        <v>65</v>
      </c>
      <c r="Z58" s="19" t="s">
        <v>65</v>
      </c>
      <c r="AA58" s="19" t="s">
        <v>61</v>
      </c>
      <c r="AB58" s="19" t="s">
        <v>61</v>
      </c>
      <c r="AC58" s="19" t="s">
        <v>55</v>
      </c>
      <c r="AD58" s="19" t="s">
        <v>55</v>
      </c>
      <c r="AE58" s="19" t="s">
        <v>50</v>
      </c>
      <c r="AF58" s="9" t="str">
        <f t="shared" si="46"/>
        <v>0,84</v>
      </c>
      <c r="AG58" s="9">
        <f t="shared" si="47"/>
        <v>0.83499999999999996</v>
      </c>
      <c r="AH58" s="9">
        <f t="shared" si="48"/>
        <v>0.82000000000000006</v>
      </c>
      <c r="AI58" s="9">
        <f t="shared" si="49"/>
        <v>0.79</v>
      </c>
      <c r="AJ58" s="9">
        <f t="shared" si="50"/>
        <v>0.75</v>
      </c>
      <c r="AK58" s="9">
        <f t="shared" si="51"/>
        <v>0.75</v>
      </c>
      <c r="AL58" s="9">
        <f t="shared" si="52"/>
        <v>0.79</v>
      </c>
      <c r="AM58" s="9">
        <f t="shared" si="53"/>
        <v>0.82000000000000006</v>
      </c>
      <c r="AN58" s="9">
        <f t="shared" si="54"/>
        <v>0.83499999999999996</v>
      </c>
    </row>
    <row r="59" spans="2:40">
      <c r="B59" s="7">
        <f>0.5*(B58+B60)</f>
        <v>27.5</v>
      </c>
      <c r="C59" s="7"/>
      <c r="D59" s="12">
        <f t="shared" ref="D59" si="195">0.5*(D58+D60)</f>
        <v>0.82000000000000006</v>
      </c>
      <c r="E59" s="12">
        <f t="shared" ref="E59" si="196">0.5*(E58+E60)</f>
        <v>0.82499999999999996</v>
      </c>
      <c r="F59" s="12">
        <f t="shared" ref="F59" si="197">0.5*(F58+F60)</f>
        <v>0.82499999999999996</v>
      </c>
      <c r="G59" s="12">
        <f t="shared" ref="G59" si="198">0.5*(G58+G60)</f>
        <v>0.83499999999999996</v>
      </c>
      <c r="H59" s="12">
        <f t="shared" ref="H59" si="199">0.5*(H58+H60)</f>
        <v>0.83499999999999996</v>
      </c>
      <c r="I59" s="12">
        <f t="shared" ref="I59" si="200">0.5*(I58+I60)</f>
        <v>0.81499999999999995</v>
      </c>
      <c r="J59" s="12">
        <f t="shared" ref="J59" si="201">0.5*(J58+J60)</f>
        <v>0.81499999999999995</v>
      </c>
      <c r="K59" s="12">
        <f t="shared" ref="K59" si="202">0.5*(K58+K60)</f>
        <v>0.79</v>
      </c>
      <c r="L59" s="12">
        <f t="shared" ref="L59" si="203">0.5*(L58+L60)</f>
        <v>0.79</v>
      </c>
      <c r="M59" s="12">
        <f t="shared" ref="M59" si="204">0.5*(M58+M60)</f>
        <v>0.80249999999999999</v>
      </c>
      <c r="N59" s="12">
        <f t="shared" ref="N59" si="205">0.5*(N58+N60)</f>
        <v>0.82499999999999996</v>
      </c>
      <c r="O59" s="12">
        <f t="shared" ref="O59" si="206">0.5*(O58+O60)</f>
        <v>0.83</v>
      </c>
      <c r="P59" s="12">
        <f t="shared" ref="P59" si="207">0.5*(P58+P60)</f>
        <v>0.82250000000000001</v>
      </c>
      <c r="Q59" s="12">
        <f t="shared" ref="Q59" si="208">0.5*(Q58+Q60)</f>
        <v>0.82250000000000001</v>
      </c>
      <c r="R59" s="12">
        <f t="shared" ref="R59" si="209">0.5*(R58+R60)</f>
        <v>0.83</v>
      </c>
      <c r="S59" s="12">
        <f t="shared" ref="S59" si="210">0.5*(S58+S60)</f>
        <v>0.82499999999999996</v>
      </c>
      <c r="T59" s="13">
        <f t="shared" ref="T59" si="211">0.5*(T58+T60)</f>
        <v>0.80249999999999999</v>
      </c>
      <c r="U59" s="14"/>
      <c r="V59" s="11">
        <f t="shared" ref="V59" si="212">0.5*(V58+V60)</f>
        <v>27.5</v>
      </c>
      <c r="W59" s="7"/>
      <c r="X59" s="12">
        <f t="shared" ref="X59" si="213">0.5*(X58+X60)</f>
        <v>0.7</v>
      </c>
      <c r="Y59" s="12">
        <f t="shared" ref="Y59" si="214">0.5*(Y58+Y60)</f>
        <v>0.745</v>
      </c>
      <c r="Z59" s="12">
        <f t="shared" ref="Z59" si="215">0.5*(Z58+Z60)</f>
        <v>0.745</v>
      </c>
      <c r="AA59" s="12">
        <f t="shared" ref="AA59" si="216">0.5*(AA58+AA60)</f>
        <v>0.79</v>
      </c>
      <c r="AB59" s="12">
        <f t="shared" ref="AB59" si="217">0.5*(AB58+AB60)</f>
        <v>0.79</v>
      </c>
      <c r="AC59" s="12">
        <f t="shared" ref="AC59" si="218">0.5*(AC58+AC60)</f>
        <v>0.81499999999999995</v>
      </c>
      <c r="AD59" s="12">
        <f t="shared" ref="AD59" si="219">0.5*(AD58+AD60)</f>
        <v>0.81499999999999995</v>
      </c>
      <c r="AE59" s="12">
        <f t="shared" ref="AE59" si="220">0.5*(AE58+AE60)</f>
        <v>0.82000000000000006</v>
      </c>
      <c r="AF59" s="12">
        <f t="shared" ref="AF59" si="221">0.5*(AF58+AF60)</f>
        <v>0.82000000000000006</v>
      </c>
      <c r="AG59" s="12">
        <f t="shared" ref="AG59" si="222">0.5*(AG58+AG60)</f>
        <v>0.8175</v>
      </c>
      <c r="AH59" s="12">
        <f t="shared" ref="AH59" si="223">0.5*(AH58+AH60)</f>
        <v>0.80249999999999999</v>
      </c>
      <c r="AI59" s="12">
        <f t="shared" ref="AI59" si="224">0.5*(AI58+AI60)</f>
        <v>0.76750000000000007</v>
      </c>
      <c r="AJ59" s="12">
        <f t="shared" ref="AJ59" si="225">0.5*(AJ58+AJ60)</f>
        <v>0.72250000000000003</v>
      </c>
      <c r="AK59" s="12">
        <f t="shared" ref="AK59" si="226">0.5*(AK58+AK60)</f>
        <v>0.72250000000000003</v>
      </c>
      <c r="AL59" s="12">
        <f t="shared" ref="AL59" si="227">0.5*(AL58+AL60)</f>
        <v>0.76750000000000007</v>
      </c>
      <c r="AM59" s="12">
        <f t="shared" ref="AM59" si="228">0.5*(AM58+AM60)</f>
        <v>0.80249999999999999</v>
      </c>
      <c r="AN59" s="12">
        <f t="shared" ref="AN59" si="229">0.5*(AN58+AN60)</f>
        <v>0.8175</v>
      </c>
    </row>
    <row r="60" spans="2:40">
      <c r="B60" s="17">
        <v>30</v>
      </c>
      <c r="C60" s="18" t="s">
        <v>35</v>
      </c>
      <c r="D60" s="19" t="s">
        <v>51</v>
      </c>
      <c r="E60" s="19" t="s">
        <v>61</v>
      </c>
      <c r="F60" s="19" t="s">
        <v>61</v>
      </c>
      <c r="G60" s="19" t="s">
        <v>56</v>
      </c>
      <c r="H60" s="19" t="s">
        <v>56</v>
      </c>
      <c r="I60" s="19" t="s">
        <v>51</v>
      </c>
      <c r="J60" s="19" t="s">
        <v>51</v>
      </c>
      <c r="K60" s="19" t="s">
        <v>65</v>
      </c>
      <c r="L60" s="9" t="str">
        <f t="shared" si="37"/>
        <v>0,77</v>
      </c>
      <c r="M60" s="9">
        <f t="shared" si="38"/>
        <v>0.78500000000000003</v>
      </c>
      <c r="N60" s="9">
        <f t="shared" si="39"/>
        <v>0.81</v>
      </c>
      <c r="O60" s="9">
        <f t="shared" si="40"/>
        <v>0.81499999999999995</v>
      </c>
      <c r="P60" s="9">
        <f t="shared" si="41"/>
        <v>0.80500000000000005</v>
      </c>
      <c r="Q60" s="9">
        <f t="shared" si="42"/>
        <v>0.80500000000000005</v>
      </c>
      <c r="R60" s="9">
        <f t="shared" si="43"/>
        <v>0.81499999999999995</v>
      </c>
      <c r="S60" s="9">
        <f t="shared" si="44"/>
        <v>0.81</v>
      </c>
      <c r="T60" s="9">
        <f t="shared" si="45"/>
        <v>0.78500000000000003</v>
      </c>
      <c r="U60" s="16"/>
      <c r="V60" s="21">
        <v>30</v>
      </c>
      <c r="W60" s="18" t="s">
        <v>37</v>
      </c>
      <c r="X60" s="19" t="s">
        <v>77</v>
      </c>
      <c r="Y60" s="19" t="s">
        <v>54</v>
      </c>
      <c r="Z60" s="19" t="s">
        <v>54</v>
      </c>
      <c r="AA60" s="19" t="s">
        <v>65</v>
      </c>
      <c r="AB60" s="19" t="s">
        <v>65</v>
      </c>
      <c r="AC60" s="19" t="s">
        <v>51</v>
      </c>
      <c r="AD60" s="19" t="s">
        <v>51</v>
      </c>
      <c r="AE60" s="19" t="s">
        <v>51</v>
      </c>
      <c r="AF60" s="9" t="str">
        <f t="shared" si="46"/>
        <v>0,80</v>
      </c>
      <c r="AG60" s="9">
        <f t="shared" si="47"/>
        <v>0.8</v>
      </c>
      <c r="AH60" s="9">
        <f t="shared" si="48"/>
        <v>0.78500000000000003</v>
      </c>
      <c r="AI60" s="9">
        <f t="shared" si="49"/>
        <v>0.745</v>
      </c>
      <c r="AJ60" s="9">
        <f t="shared" si="50"/>
        <v>0.69500000000000006</v>
      </c>
      <c r="AK60" s="9">
        <f t="shared" si="51"/>
        <v>0.69500000000000006</v>
      </c>
      <c r="AL60" s="9">
        <f t="shared" si="52"/>
        <v>0.745</v>
      </c>
      <c r="AM60" s="9">
        <f t="shared" si="53"/>
        <v>0.78500000000000003</v>
      </c>
      <c r="AN60" s="9">
        <f t="shared" si="54"/>
        <v>0.8</v>
      </c>
    </row>
    <row r="61" spans="2:40">
      <c r="B61" s="7">
        <f>0.5*(B60+B62)</f>
        <v>32.5</v>
      </c>
      <c r="C61" s="7"/>
      <c r="D61" s="12">
        <f t="shared" ref="D61" si="230">0.5*(D60+D62)</f>
        <v>0.78</v>
      </c>
      <c r="E61" s="12">
        <f t="shared" ref="E61" si="231">0.5*(E60+E62)</f>
        <v>0.79</v>
      </c>
      <c r="F61" s="12">
        <f t="shared" ref="F61" si="232">0.5*(F60+F62)</f>
        <v>0.79</v>
      </c>
      <c r="G61" s="12">
        <f t="shared" ref="G61" si="233">0.5*(G60+G62)</f>
        <v>0.8</v>
      </c>
      <c r="H61" s="12">
        <f t="shared" ref="H61" si="234">0.5*(H60+H62)</f>
        <v>0.8</v>
      </c>
      <c r="I61" s="12">
        <f t="shared" ref="I61" si="235">0.5*(I60+I62)</f>
        <v>0.78</v>
      </c>
      <c r="J61" s="12">
        <f t="shared" ref="J61" si="236">0.5*(J60+J62)</f>
        <v>0.78</v>
      </c>
      <c r="K61" s="12">
        <f t="shared" ref="K61" si="237">0.5*(K60+K62)</f>
        <v>0.755</v>
      </c>
      <c r="L61" s="12">
        <f t="shared" ref="L61" si="238">0.5*(L60+L62)</f>
        <v>0.755</v>
      </c>
      <c r="M61" s="12">
        <f t="shared" ref="M61" si="239">0.5*(M60+M62)</f>
        <v>0.76750000000000007</v>
      </c>
      <c r="N61" s="12">
        <f t="shared" ref="N61" si="240">0.5*(N60+N62)</f>
        <v>0.79</v>
      </c>
      <c r="O61" s="12">
        <f t="shared" ref="O61" si="241">0.5*(O60+O62)</f>
        <v>0.79499999999999993</v>
      </c>
      <c r="P61" s="12">
        <f t="shared" ref="P61" si="242">0.5*(P60+P62)</f>
        <v>0.78500000000000003</v>
      </c>
      <c r="Q61" s="12">
        <f t="shared" ref="Q61" si="243">0.5*(Q60+Q62)</f>
        <v>0.78500000000000003</v>
      </c>
      <c r="R61" s="12">
        <f t="shared" ref="R61" si="244">0.5*(R60+R62)</f>
        <v>0.79499999999999993</v>
      </c>
      <c r="S61" s="12">
        <f t="shared" ref="S61" si="245">0.5*(S60+S62)</f>
        <v>0.79</v>
      </c>
      <c r="T61" s="13">
        <f t="shared" ref="T61" si="246">0.5*(T60+T62)</f>
        <v>0.76750000000000007</v>
      </c>
      <c r="U61" s="14"/>
      <c r="V61" s="11">
        <f t="shared" ref="V61" si="247">0.5*(V60+V62)</f>
        <v>32.5</v>
      </c>
      <c r="W61" s="7"/>
      <c r="X61" s="12">
        <f t="shared" ref="X61" si="248">0.5*(X60+X62)</f>
        <v>0.64</v>
      </c>
      <c r="Y61" s="12">
        <f t="shared" ref="Y61" si="249">0.5*(Y60+Y62)</f>
        <v>0.69500000000000006</v>
      </c>
      <c r="Z61" s="12">
        <f t="shared" ref="Z61" si="250">0.5*(Z60+Z62)</f>
        <v>0.69500000000000006</v>
      </c>
      <c r="AA61" s="12">
        <f t="shared" ref="AA61" si="251">0.5*(AA60+AA62)</f>
        <v>0.745</v>
      </c>
      <c r="AB61" s="12">
        <f t="shared" ref="AB61" si="252">0.5*(AB60+AB62)</f>
        <v>0.745</v>
      </c>
      <c r="AC61" s="12">
        <f t="shared" ref="AC61" si="253">0.5*(AC60+AC62)</f>
        <v>0.78</v>
      </c>
      <c r="AD61" s="12">
        <f t="shared" ref="AD61" si="254">0.5*(AD60+AD62)</f>
        <v>0.78</v>
      </c>
      <c r="AE61" s="12">
        <f t="shared" ref="AE61" si="255">0.5*(AE60+AE62)</f>
        <v>0.78500000000000003</v>
      </c>
      <c r="AF61" s="12">
        <f t="shared" ref="AF61" si="256">0.5*(AF60+AF62)</f>
        <v>0.78500000000000003</v>
      </c>
      <c r="AG61" s="12">
        <f t="shared" ref="AG61" si="257">0.5*(AG60+AG62)</f>
        <v>0.78249999999999997</v>
      </c>
      <c r="AH61" s="12">
        <f t="shared" ref="AH61" si="258">0.5*(AH60+AH62)</f>
        <v>0.76249999999999996</v>
      </c>
      <c r="AI61" s="12">
        <f t="shared" ref="AI61" si="259">0.5*(AI60+AI62)</f>
        <v>0.72</v>
      </c>
      <c r="AJ61" s="12">
        <f t="shared" ref="AJ61" si="260">0.5*(AJ60+AJ62)</f>
        <v>0.66749999999999998</v>
      </c>
      <c r="AK61" s="12">
        <f t="shared" ref="AK61" si="261">0.5*(AK60+AK62)</f>
        <v>0.66749999999999998</v>
      </c>
      <c r="AL61" s="12">
        <f t="shared" ref="AL61" si="262">0.5*(AL60+AL62)</f>
        <v>0.72</v>
      </c>
      <c r="AM61" s="12">
        <f t="shared" ref="AM61" si="263">0.5*(AM60+AM62)</f>
        <v>0.76249999999999996</v>
      </c>
      <c r="AN61" s="12">
        <f t="shared" ref="AN61" si="264">0.5*(AN60+AN62)</f>
        <v>0.78249999999999997</v>
      </c>
    </row>
    <row r="62" spans="2:40">
      <c r="B62" s="17">
        <v>35</v>
      </c>
      <c r="C62" s="18" t="s">
        <v>35</v>
      </c>
      <c r="D62" s="22" t="s">
        <v>92</v>
      </c>
      <c r="E62" s="22" t="s">
        <v>65</v>
      </c>
      <c r="F62" s="22" t="s">
        <v>65</v>
      </c>
      <c r="G62" s="22" t="s">
        <v>71</v>
      </c>
      <c r="H62" s="22" t="s">
        <v>71</v>
      </c>
      <c r="I62" s="22" t="s">
        <v>92</v>
      </c>
      <c r="J62" s="22" t="s">
        <v>92</v>
      </c>
      <c r="K62" s="22" t="s">
        <v>75</v>
      </c>
      <c r="L62" s="9" t="str">
        <f t="shared" si="37"/>
        <v>0,74</v>
      </c>
      <c r="M62" s="9">
        <f t="shared" si="38"/>
        <v>0.75</v>
      </c>
      <c r="N62" s="9">
        <f t="shared" si="39"/>
        <v>0.77</v>
      </c>
      <c r="O62" s="9">
        <f t="shared" si="40"/>
        <v>0.77500000000000002</v>
      </c>
      <c r="P62" s="9">
        <f t="shared" si="41"/>
        <v>0.76500000000000001</v>
      </c>
      <c r="Q62" s="9">
        <f t="shared" si="42"/>
        <v>0.76500000000000001</v>
      </c>
      <c r="R62" s="9">
        <f t="shared" si="43"/>
        <v>0.77500000000000002</v>
      </c>
      <c r="S62" s="9">
        <f t="shared" si="44"/>
        <v>0.77</v>
      </c>
      <c r="T62" s="9">
        <f t="shared" si="45"/>
        <v>0.75</v>
      </c>
      <c r="U62" s="16"/>
      <c r="V62" s="21">
        <v>35</v>
      </c>
      <c r="W62" s="18" t="s">
        <v>37</v>
      </c>
      <c r="X62" s="19" t="s">
        <v>57</v>
      </c>
      <c r="Y62" s="19" t="s">
        <v>77</v>
      </c>
      <c r="Z62" s="19" t="s">
        <v>77</v>
      </c>
      <c r="AA62" s="19" t="s">
        <v>54</v>
      </c>
      <c r="AB62" s="19" t="s">
        <v>54</v>
      </c>
      <c r="AC62" s="19" t="s">
        <v>92</v>
      </c>
      <c r="AD62" s="19" t="s">
        <v>92</v>
      </c>
      <c r="AE62" s="19" t="s">
        <v>65</v>
      </c>
      <c r="AF62" s="9" t="str">
        <f t="shared" si="46"/>
        <v>0,77</v>
      </c>
      <c r="AG62" s="9">
        <f t="shared" si="47"/>
        <v>0.76500000000000001</v>
      </c>
      <c r="AH62" s="9">
        <f t="shared" si="48"/>
        <v>0.74</v>
      </c>
      <c r="AI62" s="9">
        <f t="shared" si="49"/>
        <v>0.69500000000000006</v>
      </c>
      <c r="AJ62" s="9">
        <f t="shared" si="50"/>
        <v>0.64</v>
      </c>
      <c r="AK62" s="9">
        <f t="shared" si="51"/>
        <v>0.64</v>
      </c>
      <c r="AL62" s="9">
        <f t="shared" si="52"/>
        <v>0.69500000000000006</v>
      </c>
      <c r="AM62" s="9">
        <f t="shared" si="53"/>
        <v>0.74</v>
      </c>
      <c r="AN62" s="9">
        <f t="shared" si="54"/>
        <v>0.76500000000000001</v>
      </c>
    </row>
    <row r="63" spans="2:40">
      <c r="B63" s="7">
        <f>0.5*(B62+B64)</f>
        <v>37.5</v>
      </c>
      <c r="C63" s="7"/>
      <c r="D63" s="12">
        <f t="shared" ref="D63" si="265">0.5*(D62+D64)</f>
        <v>0.74</v>
      </c>
      <c r="E63" s="12">
        <f t="shared" ref="E63" si="266">0.5*(E62+E64)</f>
        <v>0.75</v>
      </c>
      <c r="F63" s="12">
        <f t="shared" ref="F63" si="267">0.5*(F62+F64)</f>
        <v>0.75</v>
      </c>
      <c r="G63" s="12">
        <f t="shared" ref="G63" si="268">0.5*(G62+G64)</f>
        <v>0.76500000000000001</v>
      </c>
      <c r="H63" s="12">
        <f t="shared" ref="H63" si="269">0.5*(H62+H64)</f>
        <v>0.76500000000000001</v>
      </c>
      <c r="I63" s="12">
        <f t="shared" ref="I63" si="270">0.5*(I62+I64)</f>
        <v>0.745</v>
      </c>
      <c r="J63" s="12">
        <f t="shared" ref="J63" si="271">0.5*(J62+J64)</f>
        <v>0.745</v>
      </c>
      <c r="K63" s="12">
        <f t="shared" ref="K63" si="272">0.5*(K62+K64)</f>
        <v>0.72</v>
      </c>
      <c r="L63" s="12">
        <f t="shared" ref="L63" si="273">0.5*(L62+L64)</f>
        <v>0.72</v>
      </c>
      <c r="M63" s="12">
        <f t="shared" ref="M63" si="274">0.5*(M62+M64)</f>
        <v>0.73249999999999993</v>
      </c>
      <c r="N63" s="12">
        <f t="shared" ref="N63" si="275">0.5*(N62+N64)</f>
        <v>0.755</v>
      </c>
      <c r="O63" s="12">
        <f t="shared" ref="O63" si="276">0.5*(O62+O64)</f>
        <v>0.75750000000000006</v>
      </c>
      <c r="P63" s="12">
        <f t="shared" ref="P63" si="277">0.5*(P62+P64)</f>
        <v>0.745</v>
      </c>
      <c r="Q63" s="12">
        <f t="shared" ref="Q63" si="278">0.5*(Q62+Q64)</f>
        <v>0.745</v>
      </c>
      <c r="R63" s="12">
        <f t="shared" ref="R63" si="279">0.5*(R62+R64)</f>
        <v>0.75750000000000006</v>
      </c>
      <c r="S63" s="12">
        <f t="shared" ref="S63" si="280">0.5*(S62+S64)</f>
        <v>0.755</v>
      </c>
      <c r="T63" s="13">
        <f t="shared" ref="T63" si="281">0.5*(T62+T64)</f>
        <v>0.73249999999999993</v>
      </c>
      <c r="U63" s="14"/>
      <c r="V63" s="11">
        <f t="shared" ref="V63" si="282">0.5*(V62+V64)</f>
        <v>37.5</v>
      </c>
      <c r="W63" s="7"/>
      <c r="X63" s="12">
        <f t="shared" ref="X63" si="283">0.5*(X62+X64)</f>
        <v>0.58499999999999996</v>
      </c>
      <c r="Y63" s="12">
        <f t="shared" ref="Y63" si="284">0.5*(Y62+Y64)</f>
        <v>0.64500000000000002</v>
      </c>
      <c r="Z63" s="12">
        <f t="shared" ref="Z63" si="285">0.5*(Z62+Z64)</f>
        <v>0.64500000000000002</v>
      </c>
      <c r="AA63" s="12">
        <f t="shared" ref="AA63" si="286">0.5*(AA62+AA64)</f>
        <v>0.7</v>
      </c>
      <c r="AB63" s="12">
        <f t="shared" ref="AB63" si="287">0.5*(AB62+AB64)</f>
        <v>0.7</v>
      </c>
      <c r="AC63" s="12">
        <f t="shared" ref="AC63" si="288">0.5*(AC62+AC64)</f>
        <v>0.74</v>
      </c>
      <c r="AD63" s="12">
        <f t="shared" ref="AD63" si="289">0.5*(AD62+AD64)</f>
        <v>0.74</v>
      </c>
      <c r="AE63" s="12">
        <f t="shared" ref="AE63" si="290">0.5*(AE62+AE64)</f>
        <v>0.755</v>
      </c>
      <c r="AF63" s="12">
        <f t="shared" ref="AF63" si="291">0.5*(AF62+AF64)</f>
        <v>0.755</v>
      </c>
      <c r="AG63" s="12">
        <f t="shared" ref="AG63" si="292">0.5*(AG62+AG64)</f>
        <v>0.74750000000000005</v>
      </c>
      <c r="AH63" s="12">
        <f t="shared" ref="AH63" si="293">0.5*(AH62+AH64)</f>
        <v>0.72</v>
      </c>
      <c r="AI63" s="12">
        <f t="shared" ref="AI63" si="294">0.5*(AI62+AI64)</f>
        <v>0.6725000000000001</v>
      </c>
      <c r="AJ63" s="12">
        <f t="shared" ref="AJ63" si="295">0.5*(AJ62+AJ64)</f>
        <v>0.61499999999999999</v>
      </c>
      <c r="AK63" s="12">
        <f t="shared" ref="AK63" si="296">0.5*(AK62+AK64)</f>
        <v>0.61499999999999999</v>
      </c>
      <c r="AL63" s="12">
        <f t="shared" ref="AL63" si="297">0.5*(AL62+AL64)</f>
        <v>0.6725000000000001</v>
      </c>
      <c r="AM63" s="12">
        <f t="shared" ref="AM63" si="298">0.5*(AM62+AM64)</f>
        <v>0.72</v>
      </c>
      <c r="AN63" s="12">
        <f t="shared" ref="AN63" si="299">0.5*(AN62+AN64)</f>
        <v>0.74750000000000005</v>
      </c>
    </row>
    <row r="64" spans="2:40">
      <c r="B64" s="17">
        <v>40</v>
      </c>
      <c r="C64" s="18" t="s">
        <v>35</v>
      </c>
      <c r="D64" s="22" t="s">
        <v>54</v>
      </c>
      <c r="E64" s="22" t="s">
        <v>53</v>
      </c>
      <c r="F64" s="22" t="s">
        <v>53</v>
      </c>
      <c r="G64" s="22" t="s">
        <v>93</v>
      </c>
      <c r="H64" s="22" t="s">
        <v>93</v>
      </c>
      <c r="I64" s="22" t="s">
        <v>53</v>
      </c>
      <c r="J64" s="22" t="s">
        <v>53</v>
      </c>
      <c r="K64" s="22" t="s">
        <v>73</v>
      </c>
      <c r="L64" s="9" t="str">
        <f t="shared" si="37"/>
        <v>0,70</v>
      </c>
      <c r="M64" s="9">
        <f t="shared" si="38"/>
        <v>0.71499999999999997</v>
      </c>
      <c r="N64" s="9">
        <f t="shared" si="39"/>
        <v>0.74</v>
      </c>
      <c r="O64" s="9">
        <f t="shared" si="40"/>
        <v>0.74</v>
      </c>
      <c r="P64" s="9">
        <f t="shared" si="41"/>
        <v>0.72499999999999998</v>
      </c>
      <c r="Q64" s="9">
        <f t="shared" si="42"/>
        <v>0.72499999999999998</v>
      </c>
      <c r="R64" s="9">
        <f t="shared" si="43"/>
        <v>0.74</v>
      </c>
      <c r="S64" s="9">
        <f t="shared" si="44"/>
        <v>0.74</v>
      </c>
      <c r="T64" s="9">
        <f t="shared" si="45"/>
        <v>0.71499999999999997</v>
      </c>
      <c r="U64" s="16"/>
      <c r="V64" s="21">
        <v>40</v>
      </c>
      <c r="W64" s="18" t="s">
        <v>37</v>
      </c>
      <c r="X64" s="19" t="s">
        <v>94</v>
      </c>
      <c r="Y64" s="19" t="s">
        <v>58</v>
      </c>
      <c r="Z64" s="19" t="s">
        <v>58</v>
      </c>
      <c r="AA64" s="19" t="s">
        <v>72</v>
      </c>
      <c r="AB64" s="19" t="s">
        <v>72</v>
      </c>
      <c r="AC64" s="19" t="s">
        <v>54</v>
      </c>
      <c r="AD64" s="19" t="s">
        <v>54</v>
      </c>
      <c r="AE64" s="19" t="s">
        <v>75</v>
      </c>
      <c r="AF64" s="9" t="str">
        <f t="shared" si="46"/>
        <v>0,74</v>
      </c>
      <c r="AG64" s="9">
        <f t="shared" si="47"/>
        <v>0.73</v>
      </c>
      <c r="AH64" s="9">
        <f t="shared" si="48"/>
        <v>0.7</v>
      </c>
      <c r="AI64" s="9">
        <f t="shared" si="49"/>
        <v>0.65</v>
      </c>
      <c r="AJ64" s="9">
        <f t="shared" si="50"/>
        <v>0.59000000000000008</v>
      </c>
      <c r="AK64" s="9">
        <f t="shared" si="51"/>
        <v>0.59000000000000008</v>
      </c>
      <c r="AL64" s="9">
        <f t="shared" si="52"/>
        <v>0.65</v>
      </c>
      <c r="AM64" s="9">
        <f t="shared" si="53"/>
        <v>0.7</v>
      </c>
      <c r="AN64" s="9">
        <f t="shared" si="54"/>
        <v>0.73</v>
      </c>
    </row>
    <row r="65" spans="2:40">
      <c r="B65" s="7">
        <f>0.5*(B64+B66)</f>
        <v>42.5</v>
      </c>
      <c r="C65" s="7"/>
      <c r="D65" s="12">
        <f t="shared" ref="D65" si="300">0.5*(D64+D66)</f>
        <v>0.7</v>
      </c>
      <c r="E65" s="12">
        <f t="shared" ref="E65" si="301">0.5*(E64+E66)</f>
        <v>0.71</v>
      </c>
      <c r="F65" s="12">
        <f t="shared" ref="F65" si="302">0.5*(F64+F66)</f>
        <v>0.71</v>
      </c>
      <c r="G65" s="12">
        <f t="shared" ref="G65" si="303">0.5*(G64+G66)</f>
        <v>0.72499999999999998</v>
      </c>
      <c r="H65" s="12">
        <f t="shared" ref="H65" si="304">0.5*(H64+H66)</f>
        <v>0.72499999999999998</v>
      </c>
      <c r="I65" s="12">
        <f t="shared" ref="I65" si="305">0.5*(I64+I66)</f>
        <v>0.71</v>
      </c>
      <c r="J65" s="12">
        <f t="shared" ref="J65" si="306">0.5*(J64+J66)</f>
        <v>0.71</v>
      </c>
      <c r="K65" s="12">
        <f t="shared" ref="K65" si="307">0.5*(K64+K66)</f>
        <v>0.67999999999999994</v>
      </c>
      <c r="L65" s="12">
        <f t="shared" ref="L65" si="308">0.5*(L64+L66)</f>
        <v>0.67999999999999994</v>
      </c>
      <c r="M65" s="12">
        <f t="shared" ref="M65" si="309">0.5*(M64+M66)</f>
        <v>0.69500000000000006</v>
      </c>
      <c r="N65" s="12">
        <f t="shared" ref="N65" si="310">0.5*(N64+N66)</f>
        <v>0.71750000000000003</v>
      </c>
      <c r="O65" s="12">
        <f t="shared" ref="O65" si="311">0.5*(O64+O66)</f>
        <v>0.71750000000000003</v>
      </c>
      <c r="P65" s="12">
        <f t="shared" ref="P65" si="312">0.5*(P64+P66)</f>
        <v>0.70500000000000007</v>
      </c>
      <c r="Q65" s="12">
        <f t="shared" ref="Q65" si="313">0.5*(Q64+Q66)</f>
        <v>0.70500000000000007</v>
      </c>
      <c r="R65" s="12">
        <f t="shared" ref="R65" si="314">0.5*(R64+R66)</f>
        <v>0.71750000000000003</v>
      </c>
      <c r="S65" s="12">
        <f t="shared" ref="S65" si="315">0.5*(S64+S66)</f>
        <v>0.71750000000000003</v>
      </c>
      <c r="T65" s="13">
        <f t="shared" ref="T65" si="316">0.5*(T64+T66)</f>
        <v>0.69500000000000006</v>
      </c>
      <c r="U65" s="14"/>
      <c r="V65" s="11">
        <f t="shared" ref="V65" si="317">0.5*(V64+V66)</f>
        <v>42.5</v>
      </c>
      <c r="W65" s="7"/>
      <c r="X65" s="12">
        <f t="shared" ref="X65" si="318">0.5*(X64+X66)</f>
        <v>0.53500000000000003</v>
      </c>
      <c r="Y65" s="12">
        <f t="shared" ref="Y65" si="319">0.5*(Y64+Y66)</f>
        <v>0.59499999999999997</v>
      </c>
      <c r="Z65" s="12">
        <f t="shared" ref="Z65" si="320">0.5*(Z64+Z66)</f>
        <v>0.59499999999999997</v>
      </c>
      <c r="AA65" s="12">
        <f t="shared" ref="AA65" si="321">0.5*(AA64+AA66)</f>
        <v>0.65500000000000003</v>
      </c>
      <c r="AB65" s="12">
        <f t="shared" ref="AB65" si="322">0.5*(AB64+AB66)</f>
        <v>0.65500000000000003</v>
      </c>
      <c r="AC65" s="12">
        <f t="shared" ref="AC65" si="323">0.5*(AC64+AC66)</f>
        <v>0.7</v>
      </c>
      <c r="AD65" s="12">
        <f t="shared" ref="AD65" si="324">0.5*(AD64+AD66)</f>
        <v>0.7</v>
      </c>
      <c r="AE65" s="12">
        <f t="shared" ref="AE65" si="325">0.5*(AE64+AE66)</f>
        <v>0.72</v>
      </c>
      <c r="AF65" s="12">
        <f t="shared" ref="AF65" si="326">0.5*(AF64+AF66)</f>
        <v>0.72</v>
      </c>
      <c r="AG65" s="12">
        <f t="shared" ref="AG65" si="327">0.5*(AG64+AG66)</f>
        <v>0.71</v>
      </c>
      <c r="AH65" s="12">
        <f t="shared" ref="AH65" si="328">0.5*(AH64+AH66)</f>
        <v>0.67749999999999999</v>
      </c>
      <c r="AI65" s="12">
        <f t="shared" ref="AI65" si="329">0.5*(AI64+AI66)</f>
        <v>0.625</v>
      </c>
      <c r="AJ65" s="12">
        <f t="shared" ref="AJ65" si="330">0.5*(AJ64+AJ66)</f>
        <v>0.56500000000000006</v>
      </c>
      <c r="AK65" s="12">
        <f t="shared" ref="AK65" si="331">0.5*(AK64+AK66)</f>
        <v>0.56500000000000006</v>
      </c>
      <c r="AL65" s="12">
        <f t="shared" ref="AL65" si="332">0.5*(AL64+AL66)</f>
        <v>0.625</v>
      </c>
      <c r="AM65" s="12">
        <f t="shared" ref="AM65" si="333">0.5*(AM64+AM66)</f>
        <v>0.67749999999999999</v>
      </c>
      <c r="AN65" s="12">
        <f t="shared" ref="AN65" si="334">0.5*(AN64+AN66)</f>
        <v>0.71</v>
      </c>
    </row>
    <row r="66" spans="2:40">
      <c r="B66" s="17">
        <v>45</v>
      </c>
      <c r="C66" s="18" t="s">
        <v>35</v>
      </c>
      <c r="D66" s="22" t="s">
        <v>72</v>
      </c>
      <c r="E66" s="22" t="s">
        <v>95</v>
      </c>
      <c r="F66" s="22" t="s">
        <v>95</v>
      </c>
      <c r="G66" s="22" t="s">
        <v>73</v>
      </c>
      <c r="H66" s="22" t="s">
        <v>73</v>
      </c>
      <c r="I66" s="22" t="s">
        <v>95</v>
      </c>
      <c r="J66" s="22" t="s">
        <v>95</v>
      </c>
      <c r="K66" s="22" t="s">
        <v>96</v>
      </c>
      <c r="L66" s="9" t="str">
        <f t="shared" si="37"/>
        <v>0,66</v>
      </c>
      <c r="M66" s="9">
        <f t="shared" si="38"/>
        <v>0.67500000000000004</v>
      </c>
      <c r="N66" s="9">
        <f t="shared" si="39"/>
        <v>0.69499999999999995</v>
      </c>
      <c r="O66" s="9">
        <f t="shared" si="40"/>
        <v>0.69499999999999995</v>
      </c>
      <c r="P66" s="9">
        <f t="shared" si="41"/>
        <v>0.68500000000000005</v>
      </c>
      <c r="Q66" s="9">
        <f t="shared" si="42"/>
        <v>0.68500000000000005</v>
      </c>
      <c r="R66" s="9">
        <f t="shared" si="43"/>
        <v>0.69499999999999995</v>
      </c>
      <c r="S66" s="9">
        <f t="shared" si="44"/>
        <v>0.69499999999999995</v>
      </c>
      <c r="T66" s="9">
        <f t="shared" si="45"/>
        <v>0.67500000000000004</v>
      </c>
      <c r="U66" s="16"/>
      <c r="V66" s="21">
        <v>45</v>
      </c>
      <c r="W66" s="18" t="s">
        <v>37</v>
      </c>
      <c r="X66" s="19" t="s">
        <v>84</v>
      </c>
      <c r="Y66" s="19" t="s">
        <v>68</v>
      </c>
      <c r="Z66" s="19" t="s">
        <v>68</v>
      </c>
      <c r="AA66" s="19" t="s">
        <v>76</v>
      </c>
      <c r="AB66" s="19" t="s">
        <v>76</v>
      </c>
      <c r="AC66" s="19" t="s">
        <v>72</v>
      </c>
      <c r="AD66" s="19" t="s">
        <v>72</v>
      </c>
      <c r="AE66" s="19" t="s">
        <v>73</v>
      </c>
      <c r="AF66" s="9" t="str">
        <f t="shared" si="46"/>
        <v>0,70</v>
      </c>
      <c r="AG66" s="9">
        <f t="shared" si="47"/>
        <v>0.69</v>
      </c>
      <c r="AH66" s="9">
        <f t="shared" si="48"/>
        <v>0.65500000000000003</v>
      </c>
      <c r="AI66" s="9">
        <f t="shared" si="49"/>
        <v>0.6</v>
      </c>
      <c r="AJ66" s="9">
        <f t="shared" si="50"/>
        <v>0.54</v>
      </c>
      <c r="AK66" s="9">
        <f t="shared" si="51"/>
        <v>0.54</v>
      </c>
      <c r="AL66" s="9">
        <f t="shared" si="52"/>
        <v>0.6</v>
      </c>
      <c r="AM66" s="9">
        <f t="shared" si="53"/>
        <v>0.65500000000000003</v>
      </c>
      <c r="AN66" s="9">
        <f t="shared" si="54"/>
        <v>0.69</v>
      </c>
    </row>
    <row r="67" spans="2:40">
      <c r="B67" s="7">
        <f>0.5*(B66+B68)</f>
        <v>47.5</v>
      </c>
      <c r="C67" s="7"/>
      <c r="D67" s="12">
        <f t="shared" ref="D67" si="335">0.5*(D66+D68)</f>
        <v>0.65500000000000003</v>
      </c>
      <c r="E67" s="12">
        <f t="shared" ref="E67" si="336">0.5*(E66+E68)</f>
        <v>0.66500000000000004</v>
      </c>
      <c r="F67" s="12">
        <f t="shared" ref="F67" si="337">0.5*(F66+F68)</f>
        <v>0.66500000000000004</v>
      </c>
      <c r="G67" s="12">
        <f t="shared" ref="G67" si="338">0.5*(G66+G68)</f>
        <v>0.67999999999999994</v>
      </c>
      <c r="H67" s="12">
        <f t="shared" ref="H67" si="339">0.5*(H66+H68)</f>
        <v>0.67999999999999994</v>
      </c>
      <c r="I67" s="12">
        <f t="shared" ref="I67" si="340">0.5*(I66+I68)</f>
        <v>0.66999999999999993</v>
      </c>
      <c r="J67" s="12">
        <f t="shared" ref="J67" si="341">0.5*(J66+J68)</f>
        <v>0.66999999999999993</v>
      </c>
      <c r="K67" s="12">
        <f t="shared" ref="K67" si="342">0.5*(K66+K68)</f>
        <v>0.64</v>
      </c>
      <c r="L67" s="12">
        <f t="shared" ref="L67" si="343">0.5*(L66+L68)</f>
        <v>0.64</v>
      </c>
      <c r="M67" s="12">
        <f t="shared" ref="M67" si="344">0.5*(M66+M68)</f>
        <v>0.65500000000000003</v>
      </c>
      <c r="N67" s="12">
        <f t="shared" ref="N67" si="345">0.5*(N66+N68)</f>
        <v>0.67500000000000004</v>
      </c>
      <c r="O67" s="12">
        <f t="shared" ref="O67" si="346">0.5*(O66+O68)</f>
        <v>0.67249999999999999</v>
      </c>
      <c r="P67" s="12">
        <f t="shared" ref="P67" si="347">0.5*(P66+P68)</f>
        <v>0.66</v>
      </c>
      <c r="Q67" s="12">
        <f t="shared" ref="Q67" si="348">0.5*(Q66+Q68)</f>
        <v>0.66</v>
      </c>
      <c r="R67" s="12">
        <f t="shared" ref="R67" si="349">0.5*(R66+R68)</f>
        <v>0.67249999999999999</v>
      </c>
      <c r="S67" s="12">
        <f t="shared" ref="S67" si="350">0.5*(S66+S68)</f>
        <v>0.67500000000000004</v>
      </c>
      <c r="T67" s="13">
        <f t="shared" ref="T67" si="351">0.5*(T66+T68)</f>
        <v>0.65500000000000003</v>
      </c>
      <c r="U67" s="14"/>
      <c r="V67" s="11">
        <f t="shared" ref="V67" si="352">0.5*(V66+V68)</f>
        <v>47.5</v>
      </c>
      <c r="W67" s="7"/>
      <c r="X67" s="12">
        <f t="shared" ref="X67" si="353">0.5*(X66+X68)</f>
        <v>0.48499999999999999</v>
      </c>
      <c r="Y67" s="12">
        <f t="shared" ref="Y67" si="354">0.5*(Y66+Y68)</f>
        <v>0.54499999999999993</v>
      </c>
      <c r="Z67" s="12">
        <f t="shared" ref="Z67" si="355">0.5*(Z66+Z68)</f>
        <v>0.54499999999999993</v>
      </c>
      <c r="AA67" s="12">
        <f t="shared" ref="AA67" si="356">0.5*(AA66+AA68)</f>
        <v>0.60499999999999998</v>
      </c>
      <c r="AB67" s="12">
        <f t="shared" ref="AB67" si="357">0.5*(AB66+AB68)</f>
        <v>0.60499999999999998</v>
      </c>
      <c r="AC67" s="12">
        <f t="shared" ref="AC67" si="358">0.5*(AC66+AC68)</f>
        <v>0.66</v>
      </c>
      <c r="AD67" s="12">
        <f t="shared" ref="AD67" si="359">0.5*(AD66+AD68)</f>
        <v>0.66</v>
      </c>
      <c r="AE67" s="12">
        <f t="shared" ref="AE67" si="360">0.5*(AE66+AE68)</f>
        <v>0.68500000000000005</v>
      </c>
      <c r="AF67" s="12">
        <f t="shared" ref="AF67" si="361">0.5*(AF66+AF68)</f>
        <v>0.68500000000000005</v>
      </c>
      <c r="AG67" s="12">
        <f t="shared" ref="AG67" si="362">0.5*(AG66+AG68)</f>
        <v>0.67249999999999999</v>
      </c>
      <c r="AH67" s="12">
        <f t="shared" ref="AH67" si="363">0.5*(AH66+AH68)</f>
        <v>0.63250000000000006</v>
      </c>
      <c r="AI67" s="12">
        <f t="shared" ref="AI67" si="364">0.5*(AI66+AI68)</f>
        <v>0.57499999999999996</v>
      </c>
      <c r="AJ67" s="12">
        <f t="shared" ref="AJ67" si="365">0.5*(AJ66+AJ68)</f>
        <v>0.51500000000000001</v>
      </c>
      <c r="AK67" s="12">
        <f t="shared" ref="AK67" si="366">0.5*(AK66+AK68)</f>
        <v>0.51500000000000001</v>
      </c>
      <c r="AL67" s="12">
        <f t="shared" ref="AL67" si="367">0.5*(AL66+AL68)</f>
        <v>0.57499999999999996</v>
      </c>
      <c r="AM67" s="12">
        <f t="shared" ref="AM67" si="368">0.5*(AM66+AM68)</f>
        <v>0.63250000000000006</v>
      </c>
      <c r="AN67" s="12">
        <f t="shared" ref="AN67" si="369">0.5*(AN66+AN68)</f>
        <v>0.67249999999999999</v>
      </c>
    </row>
    <row r="68" spans="2:40">
      <c r="B68" s="17">
        <v>50</v>
      </c>
      <c r="C68" s="18" t="s">
        <v>35</v>
      </c>
      <c r="D68" s="22" t="s">
        <v>76</v>
      </c>
      <c r="E68" s="22" t="s">
        <v>97</v>
      </c>
      <c r="F68" s="22" t="s">
        <v>97</v>
      </c>
      <c r="G68" s="22" t="s">
        <v>96</v>
      </c>
      <c r="H68" s="22" t="s">
        <v>96</v>
      </c>
      <c r="I68" s="22" t="s">
        <v>59</v>
      </c>
      <c r="J68" s="22" t="s">
        <v>59</v>
      </c>
      <c r="K68" s="22" t="s">
        <v>58</v>
      </c>
      <c r="L68" s="9" t="str">
        <f t="shared" si="37"/>
        <v>0,62</v>
      </c>
      <c r="M68" s="9">
        <f t="shared" si="38"/>
        <v>0.63500000000000001</v>
      </c>
      <c r="N68" s="9">
        <f t="shared" si="39"/>
        <v>0.65500000000000003</v>
      </c>
      <c r="O68" s="9">
        <f t="shared" si="40"/>
        <v>0.65</v>
      </c>
      <c r="P68" s="9">
        <f t="shared" si="41"/>
        <v>0.63500000000000001</v>
      </c>
      <c r="Q68" s="9">
        <f t="shared" si="42"/>
        <v>0.63500000000000001</v>
      </c>
      <c r="R68" s="9">
        <f t="shared" si="43"/>
        <v>0.65</v>
      </c>
      <c r="S68" s="9">
        <f t="shared" si="44"/>
        <v>0.65500000000000003</v>
      </c>
      <c r="T68" s="9">
        <f t="shared" si="45"/>
        <v>0.63500000000000001</v>
      </c>
      <c r="U68" s="16"/>
      <c r="V68" s="21">
        <v>50</v>
      </c>
      <c r="W68" s="18" t="s">
        <v>37</v>
      </c>
      <c r="X68" s="19" t="s">
        <v>98</v>
      </c>
      <c r="Y68" s="19" t="s">
        <v>80</v>
      </c>
      <c r="Z68" s="19" t="s">
        <v>80</v>
      </c>
      <c r="AA68" s="19" t="s">
        <v>88</v>
      </c>
      <c r="AB68" s="19" t="s">
        <v>88</v>
      </c>
      <c r="AC68" s="19" t="s">
        <v>97</v>
      </c>
      <c r="AD68" s="19" t="s">
        <v>97</v>
      </c>
      <c r="AE68" s="19" t="s">
        <v>77</v>
      </c>
      <c r="AF68" s="9" t="str">
        <f t="shared" si="46"/>
        <v>0,67</v>
      </c>
      <c r="AG68" s="9">
        <f t="shared" si="47"/>
        <v>0.65500000000000003</v>
      </c>
      <c r="AH68" s="9">
        <f t="shared" si="48"/>
        <v>0.61</v>
      </c>
      <c r="AI68" s="9">
        <f t="shared" si="49"/>
        <v>0.55000000000000004</v>
      </c>
      <c r="AJ68" s="9">
        <f t="shared" si="50"/>
        <v>0.49</v>
      </c>
      <c r="AK68" s="9">
        <f t="shared" si="51"/>
        <v>0.49</v>
      </c>
      <c r="AL68" s="9">
        <f t="shared" si="52"/>
        <v>0.55000000000000004</v>
      </c>
      <c r="AM68" s="9">
        <f t="shared" si="53"/>
        <v>0.61</v>
      </c>
      <c r="AN68" s="9">
        <f t="shared" si="54"/>
        <v>0.65500000000000003</v>
      </c>
    </row>
    <row r="69" spans="2:40">
      <c r="B69" s="7">
        <f>0.5*(B68+B70)</f>
        <v>52.5</v>
      </c>
      <c r="C69" s="7"/>
      <c r="D69" s="12">
        <f t="shared" ref="D69" si="370">0.5*(D68+D70)</f>
        <v>0.6</v>
      </c>
      <c r="E69" s="12">
        <f t="shared" ref="E69" si="371">0.5*(E68+E70)</f>
        <v>0.61</v>
      </c>
      <c r="F69" s="12">
        <f t="shared" ref="F69" si="372">0.5*(F68+F70)</f>
        <v>0.61</v>
      </c>
      <c r="G69" s="12">
        <f t="shared" ref="G69" si="373">0.5*(G68+G70)</f>
        <v>0.64</v>
      </c>
      <c r="H69" s="12">
        <f t="shared" ref="H69" si="374">0.5*(H68+H70)</f>
        <v>0.64</v>
      </c>
      <c r="I69" s="12">
        <f t="shared" ref="I69" si="375">0.5*(I68+I70)</f>
        <v>0.63</v>
      </c>
      <c r="J69" s="12">
        <f t="shared" ref="J69" si="376">0.5*(J68+J70)</f>
        <v>0.63</v>
      </c>
      <c r="K69" s="12">
        <f t="shared" ref="K69" si="377">0.5*(K68+K70)</f>
        <v>0.60499999999999998</v>
      </c>
      <c r="L69" s="12">
        <f t="shared" ref="L69" si="378">0.5*(L68+L70)</f>
        <v>0.60499999999999998</v>
      </c>
      <c r="M69" s="12">
        <f t="shared" ref="M69" si="379">0.5*(M68+M70)</f>
        <v>0.61749999999999994</v>
      </c>
      <c r="N69" s="12">
        <f t="shared" ref="N69" si="380">0.5*(N68+N70)</f>
        <v>0.63500000000000001</v>
      </c>
      <c r="O69" s="12">
        <f t="shared" ref="O69" si="381">0.5*(O68+O70)</f>
        <v>0.625</v>
      </c>
      <c r="P69" s="12">
        <f t="shared" ref="P69" si="382">0.5*(P68+P70)</f>
        <v>0.60499999999999998</v>
      </c>
      <c r="Q69" s="12">
        <f t="shared" ref="Q69" si="383">0.5*(Q68+Q70)</f>
        <v>0.60499999999999998</v>
      </c>
      <c r="R69" s="12">
        <f t="shared" ref="R69" si="384">0.5*(R68+R70)</f>
        <v>0.625</v>
      </c>
      <c r="S69" s="12">
        <f t="shared" ref="S69" si="385">0.5*(S68+S70)</f>
        <v>0.63500000000000001</v>
      </c>
      <c r="T69" s="13">
        <f t="shared" ref="T69" si="386">0.5*(T68+T70)</f>
        <v>0.61749999999999994</v>
      </c>
      <c r="U69" s="14"/>
      <c r="V69" s="11">
        <f t="shared" ref="V69" si="387">0.5*(V68+V70)</f>
        <v>52.5</v>
      </c>
      <c r="W69" s="7"/>
      <c r="X69" s="12">
        <f t="shared" ref="X69" si="388">0.5*(X68+X70)</f>
        <v>0.44</v>
      </c>
      <c r="Y69" s="12">
        <f t="shared" ref="Y69" si="389">0.5*(Y68+Y70)</f>
        <v>0.5</v>
      </c>
      <c r="Z69" s="12">
        <f t="shared" ref="Z69" si="390">0.5*(Z68+Z70)</f>
        <v>0.5</v>
      </c>
      <c r="AA69" s="12">
        <f t="shared" ref="AA69" si="391">0.5*(AA68+AA70)</f>
        <v>0.55499999999999994</v>
      </c>
      <c r="AB69" s="12">
        <f t="shared" ref="AB69" si="392">0.5*(AB68+AB70)</f>
        <v>0.55499999999999994</v>
      </c>
      <c r="AC69" s="12">
        <f t="shared" ref="AC69" si="393">0.5*(AC68+AC70)</f>
        <v>0.61499999999999999</v>
      </c>
      <c r="AD69" s="12">
        <f t="shared" ref="AD69" si="394">0.5*(AD68+AD70)</f>
        <v>0.61499999999999999</v>
      </c>
      <c r="AE69" s="12">
        <f t="shared" ref="AE69" si="395">0.5*(AE68+AE70)</f>
        <v>0.65</v>
      </c>
      <c r="AF69" s="12">
        <f t="shared" ref="AF69" si="396">0.5*(AF68+AF70)</f>
        <v>0.65</v>
      </c>
      <c r="AG69" s="12">
        <f t="shared" ref="AG69" si="397">0.5*(AG68+AG70)</f>
        <v>0.63250000000000006</v>
      </c>
      <c r="AH69" s="12">
        <f t="shared" ref="AH69" si="398">0.5*(AH68+AH70)</f>
        <v>0.58499999999999996</v>
      </c>
      <c r="AI69" s="12">
        <f t="shared" ref="AI69" si="399">0.5*(AI68+AI70)</f>
        <v>0.52750000000000008</v>
      </c>
      <c r="AJ69" s="12">
        <f t="shared" ref="AJ69" si="400">0.5*(AJ68+AJ70)</f>
        <v>0.47</v>
      </c>
      <c r="AK69" s="12">
        <f t="shared" ref="AK69" si="401">0.5*(AK68+AK70)</f>
        <v>0.47</v>
      </c>
      <c r="AL69" s="12">
        <f t="shared" ref="AL69" si="402">0.5*(AL68+AL70)</f>
        <v>0.52750000000000008</v>
      </c>
      <c r="AM69" s="12">
        <f t="shared" ref="AM69" si="403">0.5*(AM68+AM70)</f>
        <v>0.58499999999999996</v>
      </c>
      <c r="AN69" s="12">
        <f t="shared" ref="AN69" si="404">0.5*(AN68+AN70)</f>
        <v>0.63250000000000006</v>
      </c>
    </row>
    <row r="70" spans="2:40">
      <c r="B70" s="17">
        <v>55</v>
      </c>
      <c r="C70" s="18" t="s">
        <v>35</v>
      </c>
      <c r="D70" s="22" t="s">
        <v>68</v>
      </c>
      <c r="E70" s="22" t="s">
        <v>88</v>
      </c>
      <c r="F70" s="22" t="s">
        <v>88</v>
      </c>
      <c r="G70" s="22" t="s">
        <v>58</v>
      </c>
      <c r="H70" s="22" t="s">
        <v>58</v>
      </c>
      <c r="I70" s="22" t="s">
        <v>57</v>
      </c>
      <c r="J70" s="22" t="s">
        <v>57</v>
      </c>
      <c r="K70" s="22" t="s">
        <v>99</v>
      </c>
      <c r="L70" s="9" t="str">
        <f t="shared" si="37"/>
        <v>0,59</v>
      </c>
      <c r="M70" s="9">
        <f t="shared" si="38"/>
        <v>0.6</v>
      </c>
      <c r="N70" s="9">
        <f t="shared" si="39"/>
        <v>0.61499999999999999</v>
      </c>
      <c r="O70" s="9">
        <f t="shared" si="40"/>
        <v>0.6</v>
      </c>
      <c r="P70" s="9">
        <f t="shared" si="41"/>
        <v>0.57499999999999996</v>
      </c>
      <c r="Q70" s="9">
        <f t="shared" si="42"/>
        <v>0.57499999999999996</v>
      </c>
      <c r="R70" s="9">
        <f t="shared" si="43"/>
        <v>0.6</v>
      </c>
      <c r="S70" s="9">
        <f t="shared" si="44"/>
        <v>0.61499999999999999</v>
      </c>
      <c r="T70" s="9">
        <f t="shared" si="45"/>
        <v>0.6</v>
      </c>
      <c r="U70" s="16"/>
      <c r="V70" s="21">
        <v>55</v>
      </c>
      <c r="W70" s="18" t="s">
        <v>37</v>
      </c>
      <c r="X70" s="19" t="s">
        <v>100</v>
      </c>
      <c r="Y70" s="19" t="s">
        <v>101</v>
      </c>
      <c r="Z70" s="19" t="s">
        <v>101</v>
      </c>
      <c r="AA70" s="19" t="s">
        <v>62</v>
      </c>
      <c r="AB70" s="19" t="s">
        <v>62</v>
      </c>
      <c r="AC70" s="19" t="s">
        <v>99</v>
      </c>
      <c r="AD70" s="19" t="s">
        <v>99</v>
      </c>
      <c r="AE70" s="19" t="s">
        <v>76</v>
      </c>
      <c r="AF70" s="9" t="str">
        <f t="shared" si="46"/>
        <v>0,63</v>
      </c>
      <c r="AG70" s="9">
        <f t="shared" si="47"/>
        <v>0.61</v>
      </c>
      <c r="AH70" s="9">
        <f t="shared" si="48"/>
        <v>0.56000000000000005</v>
      </c>
      <c r="AI70" s="9">
        <f t="shared" si="49"/>
        <v>0.505</v>
      </c>
      <c r="AJ70" s="9">
        <f t="shared" si="50"/>
        <v>0.44999999999999996</v>
      </c>
      <c r="AK70" s="9">
        <f t="shared" si="51"/>
        <v>0.44999999999999996</v>
      </c>
      <c r="AL70" s="9">
        <f t="shared" si="52"/>
        <v>0.505</v>
      </c>
      <c r="AM70" s="9">
        <f t="shared" si="53"/>
        <v>0.56000000000000005</v>
      </c>
      <c r="AN70" s="9">
        <f t="shared" si="54"/>
        <v>0.61</v>
      </c>
    </row>
    <row r="71" spans="2:40">
      <c r="B71" s="7">
        <f>0.5*(B70+B72)</f>
        <v>57.5</v>
      </c>
      <c r="C71" s="7"/>
      <c r="D71" s="12">
        <f t="shared" ref="D71" si="405">0.5*(D70+D72)</f>
        <v>0.53499999999999992</v>
      </c>
      <c r="E71" s="12">
        <f t="shared" ref="E71" si="406">0.5*(E70+E72)</f>
        <v>0.55000000000000004</v>
      </c>
      <c r="F71" s="12">
        <f t="shared" ref="F71" si="407">0.5*(F70+F72)</f>
        <v>0.55000000000000004</v>
      </c>
      <c r="G71" s="12">
        <f t="shared" ref="G71" si="408">0.5*(G70+G72)</f>
        <v>0.59499999999999997</v>
      </c>
      <c r="H71" s="12">
        <f t="shared" ref="H71" si="409">0.5*(H70+H72)</f>
        <v>0.59499999999999997</v>
      </c>
      <c r="I71" s="12">
        <f t="shared" ref="I71" si="410">0.5*(I70+I72)</f>
        <v>0.59</v>
      </c>
      <c r="J71" s="12">
        <f t="shared" ref="J71" si="411">0.5*(J70+J72)</f>
        <v>0.59</v>
      </c>
      <c r="K71" s="12">
        <f t="shared" ref="K71" si="412">0.5*(K70+K72)</f>
        <v>0.57000000000000006</v>
      </c>
      <c r="L71" s="12">
        <f t="shared" ref="L71" si="413">0.5*(L70+L72)</f>
        <v>0.57000000000000006</v>
      </c>
      <c r="M71" s="12">
        <f t="shared" ref="M71" si="414">0.5*(M70+M72)</f>
        <v>0.58000000000000007</v>
      </c>
      <c r="N71" s="12">
        <f t="shared" ref="N71" si="415">0.5*(N70+N72)</f>
        <v>0.59250000000000003</v>
      </c>
      <c r="O71" s="12">
        <f t="shared" ref="O71" si="416">0.5*(O70+O72)</f>
        <v>0.57250000000000001</v>
      </c>
      <c r="P71" s="12">
        <f t="shared" ref="P71" si="417">0.5*(P70+P72)</f>
        <v>0.54249999999999998</v>
      </c>
      <c r="Q71" s="12">
        <f t="shared" ref="Q71" si="418">0.5*(Q70+Q72)</f>
        <v>0.54249999999999998</v>
      </c>
      <c r="R71" s="12">
        <f t="shared" ref="R71" si="419">0.5*(R70+R72)</f>
        <v>0.57250000000000001</v>
      </c>
      <c r="S71" s="12">
        <f t="shared" ref="S71" si="420">0.5*(S70+S72)</f>
        <v>0.59250000000000003</v>
      </c>
      <c r="T71" s="13">
        <f t="shared" ref="T71" si="421">0.5*(T70+T72)</f>
        <v>0.58000000000000007</v>
      </c>
      <c r="U71" s="14"/>
      <c r="V71" s="11">
        <f t="shared" ref="V71" si="422">0.5*(V70+V72)</f>
        <v>57.5</v>
      </c>
      <c r="W71" s="7"/>
      <c r="X71" s="12">
        <f t="shared" ref="X71" si="423">0.5*(X70+X72)</f>
        <v>0.40500000000000003</v>
      </c>
      <c r="Y71" s="12">
        <f t="shared" ref="Y71" si="424">0.5*(Y70+Y72)</f>
        <v>0.45499999999999996</v>
      </c>
      <c r="Z71" s="12">
        <f t="shared" ref="Z71" si="425">0.5*(Z70+Z72)</f>
        <v>0.45499999999999996</v>
      </c>
      <c r="AA71" s="12">
        <f t="shared" ref="AA71" si="426">0.5*(AA70+AA72)</f>
        <v>0.505</v>
      </c>
      <c r="AB71" s="12">
        <f t="shared" ref="AB71" si="427">0.5*(AB70+AB72)</f>
        <v>0.505</v>
      </c>
      <c r="AC71" s="12">
        <f t="shared" ref="AC71" si="428">0.5*(AC70+AC72)</f>
        <v>0.57000000000000006</v>
      </c>
      <c r="AD71" s="12">
        <f t="shared" ref="AD71" si="429">0.5*(AD70+AD72)</f>
        <v>0.57000000000000006</v>
      </c>
      <c r="AE71" s="12">
        <f t="shared" ref="AE71" si="430">0.5*(AE70+AE72)</f>
        <v>0.61499999999999999</v>
      </c>
      <c r="AF71" s="12">
        <f t="shared" ref="AF71" si="431">0.5*(AF70+AF72)</f>
        <v>0.61499999999999999</v>
      </c>
      <c r="AG71" s="12">
        <f t="shared" ref="AG71" si="432">0.5*(AG70+AG72)</f>
        <v>0.59250000000000003</v>
      </c>
      <c r="AH71" s="12">
        <f t="shared" ref="AH71" si="433">0.5*(AH70+AH72)</f>
        <v>0.53750000000000009</v>
      </c>
      <c r="AI71" s="12">
        <f t="shared" ref="AI71" si="434">0.5*(AI70+AI72)</f>
        <v>0.48</v>
      </c>
      <c r="AJ71" s="12">
        <f t="shared" ref="AJ71" si="435">0.5*(AJ70+AJ72)</f>
        <v>0.43</v>
      </c>
      <c r="AK71" s="12">
        <f t="shared" ref="AK71" si="436">0.5*(AK70+AK72)</f>
        <v>0.43</v>
      </c>
      <c r="AL71" s="12">
        <f t="shared" ref="AL71" si="437">0.5*(AL70+AL72)</f>
        <v>0.48</v>
      </c>
      <c r="AM71" s="12">
        <f t="shared" ref="AM71" si="438">0.5*(AM70+AM72)</f>
        <v>0.53750000000000009</v>
      </c>
      <c r="AN71" s="12">
        <f t="shared" ref="AN71" si="439">0.5*(AN70+AN72)</f>
        <v>0.59250000000000003</v>
      </c>
    </row>
    <row r="72" spans="2:40">
      <c r="B72" s="17">
        <v>60</v>
      </c>
      <c r="C72" s="18" t="s">
        <v>35</v>
      </c>
      <c r="D72" s="22" t="s">
        <v>85</v>
      </c>
      <c r="E72" s="22" t="s">
        <v>80</v>
      </c>
      <c r="F72" s="22" t="s">
        <v>80</v>
      </c>
      <c r="G72" s="22" t="s">
        <v>68</v>
      </c>
      <c r="H72" s="22" t="s">
        <v>68</v>
      </c>
      <c r="I72" s="22" t="s">
        <v>68</v>
      </c>
      <c r="J72" s="22" t="s">
        <v>68</v>
      </c>
      <c r="K72" s="22" t="s">
        <v>70</v>
      </c>
      <c r="L72" s="9" t="str">
        <f t="shared" si="37"/>
        <v>0,55</v>
      </c>
      <c r="M72" s="9">
        <f t="shared" si="38"/>
        <v>0.56000000000000005</v>
      </c>
      <c r="N72" s="9">
        <f t="shared" si="39"/>
        <v>0.56999999999999995</v>
      </c>
      <c r="O72" s="9">
        <f t="shared" si="40"/>
        <v>0.54499999999999993</v>
      </c>
      <c r="P72" s="9">
        <f t="shared" si="41"/>
        <v>0.51</v>
      </c>
      <c r="Q72" s="9">
        <f t="shared" si="42"/>
        <v>0.51</v>
      </c>
      <c r="R72" s="9">
        <f t="shared" si="43"/>
        <v>0.54499999999999993</v>
      </c>
      <c r="S72" s="9">
        <f t="shared" si="44"/>
        <v>0.56999999999999995</v>
      </c>
      <c r="T72" s="9">
        <f t="shared" si="45"/>
        <v>0.56000000000000005</v>
      </c>
      <c r="U72" s="16"/>
      <c r="V72" s="21">
        <v>60</v>
      </c>
      <c r="W72" s="18" t="s">
        <v>37</v>
      </c>
      <c r="X72" s="19" t="s">
        <v>102</v>
      </c>
      <c r="Y72" s="19" t="s">
        <v>103</v>
      </c>
      <c r="Z72" s="19" t="s">
        <v>103</v>
      </c>
      <c r="AA72" s="19" t="s">
        <v>101</v>
      </c>
      <c r="AB72" s="19" t="s">
        <v>101</v>
      </c>
      <c r="AC72" s="19" t="s">
        <v>70</v>
      </c>
      <c r="AD72" s="19" t="s">
        <v>70</v>
      </c>
      <c r="AE72" s="19" t="s">
        <v>81</v>
      </c>
      <c r="AF72" s="9" t="str">
        <f t="shared" si="46"/>
        <v>0,60</v>
      </c>
      <c r="AG72" s="9">
        <f t="shared" si="47"/>
        <v>0.57499999999999996</v>
      </c>
      <c r="AH72" s="9">
        <f t="shared" si="48"/>
        <v>0.51500000000000001</v>
      </c>
      <c r="AI72" s="9">
        <f t="shared" si="49"/>
        <v>0.45499999999999996</v>
      </c>
      <c r="AJ72" s="9">
        <f t="shared" si="50"/>
        <v>0.41000000000000003</v>
      </c>
      <c r="AK72" s="9">
        <f t="shared" si="51"/>
        <v>0.41000000000000003</v>
      </c>
      <c r="AL72" s="9">
        <f t="shared" si="52"/>
        <v>0.45499999999999996</v>
      </c>
      <c r="AM72" s="9">
        <f t="shared" si="53"/>
        <v>0.51500000000000001</v>
      </c>
      <c r="AN72" s="9">
        <f t="shared" si="54"/>
        <v>0.57499999999999996</v>
      </c>
    </row>
    <row r="73" spans="2:40">
      <c r="B73" s="7">
        <f>0.5*(B72+B74)</f>
        <v>62.5</v>
      </c>
      <c r="C73" s="7"/>
      <c r="D73" s="12">
        <f t="shared" ref="D73" si="440">0.5*(D72+D74)</f>
        <v>0.45999999999999996</v>
      </c>
      <c r="E73" s="12">
        <f t="shared" ref="E73" si="441">0.5*(E72+E74)</f>
        <v>0.48499999999999999</v>
      </c>
      <c r="F73" s="12">
        <f t="shared" ref="F73" si="442">0.5*(F72+F74)</f>
        <v>0.48499999999999999</v>
      </c>
      <c r="G73" s="12">
        <f t="shared" ref="G73" si="443">0.5*(G72+G74)</f>
        <v>0.53499999999999992</v>
      </c>
      <c r="H73" s="12">
        <f t="shared" ref="H73" si="444">0.5*(H72+H74)</f>
        <v>0.53499999999999992</v>
      </c>
      <c r="I73" s="12">
        <f t="shared" ref="I73" si="445">0.5*(I72+I74)</f>
        <v>0.55000000000000004</v>
      </c>
      <c r="J73" s="12">
        <f t="shared" ref="J73" si="446">0.5*(J72+J74)</f>
        <v>0.55000000000000004</v>
      </c>
      <c r="K73" s="12">
        <f t="shared" ref="K73" si="447">0.5*(K72+K74)</f>
        <v>0.53</v>
      </c>
      <c r="L73" s="12">
        <f t="shared" ref="L73" si="448">0.5*(L72+L74)</f>
        <v>0.53</v>
      </c>
      <c r="M73" s="12">
        <f t="shared" ref="M73" si="449">0.5*(M72+M74)</f>
        <v>0.54</v>
      </c>
      <c r="N73" s="12">
        <f t="shared" ref="N73" si="450">0.5*(N72+N74)</f>
        <v>0.54249999999999998</v>
      </c>
      <c r="O73" s="12">
        <f t="shared" ref="O73" si="451">0.5*(O72+O74)</f>
        <v>0.51</v>
      </c>
      <c r="P73" s="12">
        <f t="shared" ref="P73" si="452">0.5*(P72+P74)</f>
        <v>0.47250000000000003</v>
      </c>
      <c r="Q73" s="12">
        <f t="shared" ref="Q73" si="453">0.5*(Q72+Q74)</f>
        <v>0.47250000000000003</v>
      </c>
      <c r="R73" s="12">
        <f t="shared" ref="R73" si="454">0.5*(R72+R74)</f>
        <v>0.51</v>
      </c>
      <c r="S73" s="12">
        <f t="shared" ref="S73" si="455">0.5*(S72+S74)</f>
        <v>0.54249999999999998</v>
      </c>
      <c r="T73" s="13">
        <f t="shared" ref="T73" si="456">0.5*(T72+T74)</f>
        <v>0.54</v>
      </c>
      <c r="U73" s="14"/>
      <c r="V73" s="11">
        <f t="shared" ref="V73" si="457">0.5*(V72+V74)</f>
        <v>62.5</v>
      </c>
      <c r="W73" s="7"/>
      <c r="X73" s="12">
        <f t="shared" ref="X73" si="458">0.5*(X72+X74)</f>
        <v>0.375</v>
      </c>
      <c r="Y73" s="12">
        <f t="shared" ref="Y73" si="459">0.5*(Y72+Y74)</f>
        <v>0.41000000000000003</v>
      </c>
      <c r="Z73" s="12">
        <f t="shared" ref="Z73" si="460">0.5*(Z72+Z74)</f>
        <v>0.41000000000000003</v>
      </c>
      <c r="AA73" s="12">
        <f t="shared" ref="AA73" si="461">0.5*(AA72+AA74)</f>
        <v>0.45499999999999996</v>
      </c>
      <c r="AB73" s="12">
        <f t="shared" ref="AB73" si="462">0.5*(AB72+AB74)</f>
        <v>0.45499999999999996</v>
      </c>
      <c r="AC73" s="12">
        <f t="shared" ref="AC73" si="463">0.5*(AC72+AC74)</f>
        <v>0.52</v>
      </c>
      <c r="AD73" s="12">
        <f t="shared" ref="AD73" si="464">0.5*(AD72+AD74)</f>
        <v>0.52</v>
      </c>
      <c r="AE73" s="12">
        <f t="shared" ref="AE73" si="465">0.5*(AE72+AE74)</f>
        <v>0.58000000000000007</v>
      </c>
      <c r="AF73" s="12">
        <f t="shared" ref="AF73" si="466">0.5*(AF72+AF74)</f>
        <v>0.58000000000000007</v>
      </c>
      <c r="AG73" s="12">
        <f t="shared" ref="AG73" si="467">0.5*(AG72+AG74)</f>
        <v>0.55000000000000004</v>
      </c>
      <c r="AH73" s="12">
        <f t="shared" ref="AH73" si="468">0.5*(AH72+AH74)</f>
        <v>0.48749999999999999</v>
      </c>
      <c r="AI73" s="12">
        <f t="shared" ref="AI73" si="469">0.5*(AI72+AI74)</f>
        <v>0.4325</v>
      </c>
      <c r="AJ73" s="12">
        <f t="shared" ref="AJ73" si="470">0.5*(AJ72+AJ74)</f>
        <v>0.39250000000000002</v>
      </c>
      <c r="AK73" s="12">
        <f t="shared" ref="AK73" si="471">0.5*(AK72+AK74)</f>
        <v>0.39250000000000002</v>
      </c>
      <c r="AL73" s="12">
        <f t="shared" ref="AL73" si="472">0.5*(AL72+AL74)</f>
        <v>0.4325</v>
      </c>
      <c r="AM73" s="12">
        <f t="shared" ref="AM73" si="473">0.5*(AM72+AM74)</f>
        <v>0.48749999999999999</v>
      </c>
      <c r="AN73" s="12">
        <f t="shared" ref="AN73" si="474">0.5*(AN72+AN74)</f>
        <v>0.55000000000000004</v>
      </c>
    </row>
    <row r="74" spans="2:40">
      <c r="B74" s="17">
        <v>65</v>
      </c>
      <c r="C74" s="18" t="s">
        <v>35</v>
      </c>
      <c r="D74" s="22" t="s">
        <v>100</v>
      </c>
      <c r="E74" s="22" t="s">
        <v>104</v>
      </c>
      <c r="F74" s="22" t="s">
        <v>104</v>
      </c>
      <c r="G74" s="22" t="s">
        <v>85</v>
      </c>
      <c r="H74" s="22" t="s">
        <v>85</v>
      </c>
      <c r="I74" s="22" t="s">
        <v>62</v>
      </c>
      <c r="J74" s="22" t="s">
        <v>62</v>
      </c>
      <c r="K74" s="22" t="s">
        <v>84</v>
      </c>
      <c r="L74" s="9" t="str">
        <f t="shared" si="37"/>
        <v>0,51</v>
      </c>
      <c r="M74" s="9">
        <f t="shared" si="38"/>
        <v>0.52</v>
      </c>
      <c r="N74" s="9">
        <f t="shared" si="39"/>
        <v>0.51500000000000001</v>
      </c>
      <c r="O74" s="9">
        <f t="shared" si="40"/>
        <v>0.47499999999999998</v>
      </c>
      <c r="P74" s="9">
        <f t="shared" si="41"/>
        <v>0.435</v>
      </c>
      <c r="Q74" s="9">
        <f t="shared" si="42"/>
        <v>0.435</v>
      </c>
      <c r="R74" s="9">
        <f t="shared" si="43"/>
        <v>0.47499999999999998</v>
      </c>
      <c r="S74" s="9">
        <f t="shared" si="44"/>
        <v>0.51500000000000001</v>
      </c>
      <c r="T74" s="9">
        <f t="shared" si="45"/>
        <v>0.52</v>
      </c>
      <c r="U74" s="16"/>
      <c r="V74" s="21">
        <v>65</v>
      </c>
      <c r="W74" s="18" t="s">
        <v>37</v>
      </c>
      <c r="X74" s="19" t="s">
        <v>74</v>
      </c>
      <c r="Y74" s="19" t="s">
        <v>102</v>
      </c>
      <c r="Z74" s="19" t="s">
        <v>102</v>
      </c>
      <c r="AA74" s="19" t="s">
        <v>103</v>
      </c>
      <c r="AB74" s="19" t="s">
        <v>103</v>
      </c>
      <c r="AC74" s="19" t="s">
        <v>105</v>
      </c>
      <c r="AD74" s="19" t="s">
        <v>105</v>
      </c>
      <c r="AE74" s="19" t="s">
        <v>94</v>
      </c>
      <c r="AF74" s="9" t="str">
        <f t="shared" si="46"/>
        <v>0,56</v>
      </c>
      <c r="AG74" s="9">
        <f t="shared" si="47"/>
        <v>0.52500000000000002</v>
      </c>
      <c r="AH74" s="9">
        <f t="shared" si="48"/>
        <v>0.45999999999999996</v>
      </c>
      <c r="AI74" s="9">
        <f t="shared" si="49"/>
        <v>0.41000000000000003</v>
      </c>
      <c r="AJ74" s="9">
        <f t="shared" si="50"/>
        <v>0.375</v>
      </c>
      <c r="AK74" s="9">
        <f t="shared" si="51"/>
        <v>0.375</v>
      </c>
      <c r="AL74" s="9">
        <f t="shared" si="52"/>
        <v>0.41000000000000003</v>
      </c>
      <c r="AM74" s="9">
        <f t="shared" si="53"/>
        <v>0.45999999999999996</v>
      </c>
      <c r="AN74" s="9">
        <f t="shared" si="54"/>
        <v>0.52500000000000002</v>
      </c>
    </row>
    <row r="75" spans="2:40">
      <c r="B75" s="7">
        <f>0.5*(B74+B76)</f>
        <v>67.5</v>
      </c>
      <c r="C75" s="7"/>
      <c r="D75" s="12">
        <f t="shared" ref="D75" si="475">0.5*(D74+D76)</f>
        <v>0.38</v>
      </c>
      <c r="E75" s="12">
        <f t="shared" ref="E75" si="476">0.5*(E74+E76)</f>
        <v>0.41000000000000003</v>
      </c>
      <c r="F75" s="12">
        <f t="shared" ref="F75" si="477">0.5*(F74+F76)</f>
        <v>0.41000000000000003</v>
      </c>
      <c r="G75" s="12">
        <f t="shared" ref="G75" si="478">0.5*(G74+G76)</f>
        <v>0.47</v>
      </c>
      <c r="H75" s="12">
        <f t="shared" ref="H75" si="479">0.5*(H74+H76)</f>
        <v>0.47</v>
      </c>
      <c r="I75" s="12">
        <f t="shared" ref="I75" si="480">0.5*(I74+I76)</f>
        <v>0.505</v>
      </c>
      <c r="J75" s="12">
        <f t="shared" ref="J75" si="481">0.5*(J74+J76)</f>
        <v>0.505</v>
      </c>
      <c r="K75" s="12">
        <f t="shared" ref="K75" si="482">0.5*(K74+K76)</f>
        <v>0.49</v>
      </c>
      <c r="L75" s="12">
        <f t="shared" ref="L75" si="483">0.5*(L74+L76)</f>
        <v>0.49</v>
      </c>
      <c r="M75" s="12">
        <f t="shared" ref="M75" si="484">0.5*(M74+M76)</f>
        <v>0.4975</v>
      </c>
      <c r="N75" s="12">
        <f t="shared" ref="N75" si="485">0.5*(N74+N76)</f>
        <v>0.48749999999999999</v>
      </c>
      <c r="O75" s="12">
        <f t="shared" ref="O75" si="486">0.5*(O74+O76)</f>
        <v>0.44</v>
      </c>
      <c r="P75" s="12">
        <f t="shared" ref="P75" si="487">0.5*(P74+P76)</f>
        <v>0.39500000000000002</v>
      </c>
      <c r="Q75" s="12">
        <f t="shared" ref="Q75" si="488">0.5*(Q74+Q76)</f>
        <v>0.39500000000000002</v>
      </c>
      <c r="R75" s="12">
        <f t="shared" ref="R75" si="489">0.5*(R74+R76)</f>
        <v>0.44</v>
      </c>
      <c r="S75" s="12">
        <f t="shared" ref="S75" si="490">0.5*(S74+S76)</f>
        <v>0.48749999999999999</v>
      </c>
      <c r="T75" s="13">
        <f t="shared" ref="T75" si="491">0.5*(T74+T76)</f>
        <v>0.4975</v>
      </c>
      <c r="U75" s="14"/>
      <c r="V75" s="11">
        <f t="shared" ref="V75" si="492">0.5*(V74+V76)</f>
        <v>67.5</v>
      </c>
      <c r="W75" s="7"/>
      <c r="X75" s="12">
        <f t="shared" ref="X75" si="493">0.5*(X74+X76)</f>
        <v>0.34499999999999997</v>
      </c>
      <c r="Y75" s="12">
        <f t="shared" ref="Y75" si="494">0.5*(Y74+Y76)</f>
        <v>0.36499999999999999</v>
      </c>
      <c r="Z75" s="12">
        <f t="shared" ref="Z75" si="495">0.5*(Z74+Z76)</f>
        <v>0.36499999999999999</v>
      </c>
      <c r="AA75" s="12">
        <f t="shared" ref="AA75" si="496">0.5*(AA74+AA76)</f>
        <v>0.40500000000000003</v>
      </c>
      <c r="AB75" s="12">
        <f t="shared" ref="AB75" si="497">0.5*(AB74+AB76)</f>
        <v>0.40500000000000003</v>
      </c>
      <c r="AC75" s="12">
        <f t="shared" ref="AC75" si="498">0.5*(AC74+AC76)</f>
        <v>0.46499999999999997</v>
      </c>
      <c r="AD75" s="12">
        <f t="shared" ref="AD75" si="499">0.5*(AD74+AD76)</f>
        <v>0.46499999999999997</v>
      </c>
      <c r="AE75" s="12">
        <f t="shared" ref="AE75" si="500">0.5*(AE74+AE76)</f>
        <v>0.54</v>
      </c>
      <c r="AF75" s="12">
        <f t="shared" ref="AF75" si="501">0.5*(AF74+AF76)</f>
        <v>0.54</v>
      </c>
      <c r="AG75" s="12">
        <f t="shared" ref="AG75" si="502">0.5*(AG74+AG76)</f>
        <v>0.50249999999999995</v>
      </c>
      <c r="AH75" s="12">
        <f t="shared" ref="AH75" si="503">0.5*(AH74+AH76)</f>
        <v>0.435</v>
      </c>
      <c r="AI75" s="12">
        <f t="shared" ref="AI75" si="504">0.5*(AI74+AI76)</f>
        <v>0.38500000000000001</v>
      </c>
      <c r="AJ75" s="12">
        <f t="shared" ref="AJ75" si="505">0.5*(AJ74+AJ76)</f>
        <v>0.35499999999999998</v>
      </c>
      <c r="AK75" s="12">
        <f t="shared" ref="AK75" si="506">0.5*(AK74+AK76)</f>
        <v>0.35499999999999998</v>
      </c>
      <c r="AL75" s="12">
        <f t="shared" ref="AL75" si="507">0.5*(AL74+AL76)</f>
        <v>0.38500000000000001</v>
      </c>
      <c r="AM75" s="12">
        <f t="shared" ref="AM75" si="508">0.5*(AM74+AM76)</f>
        <v>0.435</v>
      </c>
      <c r="AN75" s="12">
        <f t="shared" ref="AN75" si="509">0.5*(AN74+AN76)</f>
        <v>0.50249999999999995</v>
      </c>
    </row>
    <row r="76" spans="2:40">
      <c r="B76" s="17">
        <v>70</v>
      </c>
      <c r="C76" s="18" t="s">
        <v>35</v>
      </c>
      <c r="D76" s="22" t="s">
        <v>78</v>
      </c>
      <c r="E76" s="22" t="s">
        <v>83</v>
      </c>
      <c r="F76" s="22" t="s">
        <v>83</v>
      </c>
      <c r="G76" s="22" t="s">
        <v>66</v>
      </c>
      <c r="H76" s="22" t="s">
        <v>66</v>
      </c>
      <c r="I76" s="22" t="s">
        <v>101</v>
      </c>
      <c r="J76" s="22" t="s">
        <v>101</v>
      </c>
      <c r="K76" s="22" t="s">
        <v>67</v>
      </c>
      <c r="L76" s="9" t="str">
        <f t="shared" si="37"/>
        <v>0,47</v>
      </c>
      <c r="M76" s="9">
        <f t="shared" si="38"/>
        <v>0.47499999999999998</v>
      </c>
      <c r="N76" s="9">
        <f t="shared" si="39"/>
        <v>0.45999999999999996</v>
      </c>
      <c r="O76" s="9">
        <f t="shared" si="40"/>
        <v>0.40500000000000003</v>
      </c>
      <c r="P76" s="9">
        <f t="shared" si="41"/>
        <v>0.35499999999999998</v>
      </c>
      <c r="Q76" s="9">
        <f t="shared" si="42"/>
        <v>0.35499999999999998</v>
      </c>
      <c r="R76" s="9">
        <f t="shared" si="43"/>
        <v>0.40500000000000003</v>
      </c>
      <c r="S76" s="9">
        <f t="shared" si="44"/>
        <v>0.45999999999999996</v>
      </c>
      <c r="T76" s="9">
        <f t="shared" si="45"/>
        <v>0.47499999999999998</v>
      </c>
      <c r="U76" s="16"/>
      <c r="V76" s="21">
        <v>70</v>
      </c>
      <c r="W76" s="18" t="s">
        <v>37</v>
      </c>
      <c r="X76" s="19" t="s">
        <v>106</v>
      </c>
      <c r="Y76" s="19" t="s">
        <v>78</v>
      </c>
      <c r="Z76" s="19" t="s">
        <v>78</v>
      </c>
      <c r="AA76" s="19" t="s">
        <v>79</v>
      </c>
      <c r="AB76" s="19" t="s">
        <v>79</v>
      </c>
      <c r="AC76" s="19" t="s">
        <v>66</v>
      </c>
      <c r="AD76" s="19" t="s">
        <v>66</v>
      </c>
      <c r="AE76" s="19" t="s">
        <v>80</v>
      </c>
      <c r="AF76" s="9" t="str">
        <f t="shared" si="46"/>
        <v>0,52</v>
      </c>
      <c r="AG76" s="9">
        <f t="shared" si="47"/>
        <v>0.48</v>
      </c>
      <c r="AH76" s="9">
        <f t="shared" si="48"/>
        <v>0.41000000000000003</v>
      </c>
      <c r="AI76" s="9">
        <f t="shared" si="49"/>
        <v>0.36</v>
      </c>
      <c r="AJ76" s="9">
        <f t="shared" si="50"/>
        <v>0.33500000000000002</v>
      </c>
      <c r="AK76" s="9">
        <f t="shared" si="51"/>
        <v>0.33500000000000002</v>
      </c>
      <c r="AL76" s="9">
        <f t="shared" si="52"/>
        <v>0.36</v>
      </c>
      <c r="AM76" s="9">
        <f t="shared" si="53"/>
        <v>0.41000000000000003</v>
      </c>
      <c r="AN76" s="9">
        <f t="shared" si="54"/>
        <v>0.48</v>
      </c>
    </row>
    <row r="77" spans="2:40">
      <c r="B77" s="7">
        <f>0.5*(B76+B78)</f>
        <v>72.5</v>
      </c>
      <c r="C77" s="7"/>
      <c r="D77" s="12">
        <f t="shared" ref="D77" si="510">0.5*(D76+D78)</f>
        <v>0.29749999999999999</v>
      </c>
      <c r="E77" s="12">
        <f t="shared" ref="E77" si="511">0.5*(E76+E78)</f>
        <v>0.32999999999999996</v>
      </c>
      <c r="F77" s="12">
        <f t="shared" ref="F77" si="512">0.5*(F76+F78)</f>
        <v>0.32999999999999996</v>
      </c>
      <c r="G77" s="12">
        <f t="shared" ref="G77" si="513">0.5*(G76+G78)</f>
        <v>0.40249999999999997</v>
      </c>
      <c r="H77" s="12">
        <f t="shared" ref="H77" si="514">0.5*(H76+H78)</f>
        <v>0.40249999999999997</v>
      </c>
      <c r="I77" s="12">
        <f t="shared" ref="I77" si="515">0.5*(I76+I78)</f>
        <v>0.45499999999999996</v>
      </c>
      <c r="J77" s="12">
        <f t="shared" ref="J77" si="516">0.5*(J76+J78)</f>
        <v>0.45499999999999996</v>
      </c>
      <c r="K77" s="12">
        <f t="shared" ref="K77" si="517">0.5*(K76+K78)</f>
        <v>0.45250000000000001</v>
      </c>
      <c r="L77" s="12">
        <f t="shared" ref="L77" si="518">0.5*(L76+L78)</f>
        <v>0.45250000000000001</v>
      </c>
      <c r="M77" s="12">
        <f t="shared" ref="M77" si="519">0.5*(M76+M78)</f>
        <v>0.45374999999999999</v>
      </c>
      <c r="N77" s="12">
        <f t="shared" ref="N77" si="520">0.5*(N76+N78)</f>
        <v>0.42874999999999996</v>
      </c>
      <c r="O77" s="12">
        <f t="shared" ref="O77" si="521">0.5*(O76+O78)</f>
        <v>0.36625000000000002</v>
      </c>
      <c r="P77" s="12">
        <f t="shared" ref="P77" si="522">0.5*(P76+P78)</f>
        <v>0.31374999999999997</v>
      </c>
      <c r="Q77" s="12">
        <f t="shared" ref="Q77" si="523">0.5*(Q76+Q78)</f>
        <v>0.31374999999999997</v>
      </c>
      <c r="R77" s="12">
        <f t="shared" ref="R77" si="524">0.5*(R76+R78)</f>
        <v>0.36625000000000002</v>
      </c>
      <c r="S77" s="12">
        <f t="shared" ref="S77" si="525">0.5*(S76+S78)</f>
        <v>0.42874999999999996</v>
      </c>
      <c r="T77" s="13">
        <f t="shared" ref="T77" si="526">0.5*(T76+T78)</f>
        <v>0.45374999999999999</v>
      </c>
      <c r="U77" s="14"/>
      <c r="V77" s="11">
        <f t="shared" ref="V77" si="527">0.5*(V76+V78)</f>
        <v>72.5</v>
      </c>
      <c r="W77" s="7"/>
      <c r="X77" s="12">
        <f t="shared" ref="X77" si="528">0.5*(X76+X78)</f>
        <v>0.3175</v>
      </c>
      <c r="Y77" s="12">
        <f t="shared" ref="Y77" si="529">0.5*(Y76+Y78)</f>
        <v>0.32000000000000006</v>
      </c>
      <c r="Z77" s="12">
        <f t="shared" ref="Z77" si="530">0.5*(Z76+Z78)</f>
        <v>0.32000000000000006</v>
      </c>
      <c r="AA77" s="12">
        <f t="shared" ref="AA77" si="531">0.5*(AA76+AA78)</f>
        <v>0.35250000000000004</v>
      </c>
      <c r="AB77" s="12">
        <f t="shared" ref="AB77" si="532">0.5*(AB76+AB78)</f>
        <v>0.35250000000000004</v>
      </c>
      <c r="AC77" s="12">
        <f t="shared" ref="AC77" si="533">0.5*(AC76+AC78)</f>
        <v>0.41000000000000003</v>
      </c>
      <c r="AD77" s="12">
        <f t="shared" ref="AD77" si="534">0.5*(AD76+AD78)</f>
        <v>0.41000000000000003</v>
      </c>
      <c r="AE77" s="12">
        <f t="shared" ref="AE77" si="535">0.5*(AE76+AE78)</f>
        <v>0.49249999999999999</v>
      </c>
      <c r="AF77" s="12">
        <f t="shared" ref="AF77" si="536">0.5*(AF76+AF78)</f>
        <v>0.49249999999999999</v>
      </c>
      <c r="AG77" s="12">
        <f t="shared" ref="AG77" si="537">0.5*(AG76+AG78)</f>
        <v>0.45124999999999998</v>
      </c>
      <c r="AH77" s="12">
        <f t="shared" ref="AH77" si="538">0.5*(AH76+AH78)</f>
        <v>0.38125000000000003</v>
      </c>
      <c r="AI77" s="12">
        <f t="shared" ref="AI77" si="539">0.5*(AI76+AI78)</f>
        <v>0.33624999999999999</v>
      </c>
      <c r="AJ77" s="12">
        <f t="shared" ref="AJ77" si="540">0.5*(AJ76+AJ78)</f>
        <v>0.31874999999999998</v>
      </c>
      <c r="AK77" s="12">
        <f t="shared" ref="AK77" si="541">0.5*(AK76+AK78)</f>
        <v>0.31874999999999998</v>
      </c>
      <c r="AL77" s="12">
        <f t="shared" ref="AL77" si="542">0.5*(AL76+AL78)</f>
        <v>0.33624999999999999</v>
      </c>
      <c r="AM77" s="12">
        <f t="shared" ref="AM77" si="543">0.5*(AM76+AM78)</f>
        <v>0.38125000000000003</v>
      </c>
      <c r="AN77" s="12">
        <f t="shared" ref="AN77" si="544">0.5*(AN76+AN78)</f>
        <v>0.45124999999999998</v>
      </c>
    </row>
    <row r="78" spans="2:40">
      <c r="B78" s="17">
        <v>75</v>
      </c>
      <c r="C78" s="18" t="s">
        <v>35</v>
      </c>
      <c r="D78" s="22">
        <f>0.5*(D76+D80)</f>
        <v>0.255</v>
      </c>
      <c r="E78" s="22">
        <f t="shared" ref="E78:AN78" si="545">0.5*(E76+E80)</f>
        <v>0.28999999999999998</v>
      </c>
      <c r="F78" s="22">
        <f t="shared" si="545"/>
        <v>0.28999999999999998</v>
      </c>
      <c r="G78" s="22">
        <f t="shared" si="545"/>
        <v>0.36499999999999999</v>
      </c>
      <c r="H78" s="22">
        <f t="shared" si="545"/>
        <v>0.36499999999999999</v>
      </c>
      <c r="I78" s="22">
        <f t="shared" si="545"/>
        <v>0.43</v>
      </c>
      <c r="J78" s="22">
        <f t="shared" si="545"/>
        <v>0.43</v>
      </c>
      <c r="K78" s="22">
        <f t="shared" si="545"/>
        <v>0.435</v>
      </c>
      <c r="L78" s="22">
        <f t="shared" si="545"/>
        <v>0.435</v>
      </c>
      <c r="M78" s="22">
        <f t="shared" si="545"/>
        <v>0.4325</v>
      </c>
      <c r="N78" s="22">
        <f t="shared" si="545"/>
        <v>0.39749999999999996</v>
      </c>
      <c r="O78" s="22">
        <f t="shared" si="545"/>
        <v>0.32750000000000001</v>
      </c>
      <c r="P78" s="22">
        <f t="shared" si="545"/>
        <v>0.27249999999999996</v>
      </c>
      <c r="Q78" s="22">
        <f t="shared" si="545"/>
        <v>0.27249999999999996</v>
      </c>
      <c r="R78" s="22">
        <f t="shared" si="545"/>
        <v>0.32750000000000001</v>
      </c>
      <c r="S78" s="22">
        <f t="shared" si="545"/>
        <v>0.39749999999999996</v>
      </c>
      <c r="T78" s="186">
        <f t="shared" si="545"/>
        <v>0.4325</v>
      </c>
      <c r="U78" s="188"/>
      <c r="V78" s="187">
        <f t="shared" si="545"/>
        <v>75</v>
      </c>
      <c r="W78" s="18" t="s">
        <v>37</v>
      </c>
      <c r="X78" s="22">
        <f t="shared" si="545"/>
        <v>0.30500000000000005</v>
      </c>
      <c r="Y78" s="22">
        <f t="shared" si="545"/>
        <v>0.30000000000000004</v>
      </c>
      <c r="Z78" s="22">
        <f t="shared" si="545"/>
        <v>0.30000000000000004</v>
      </c>
      <c r="AA78" s="22">
        <f t="shared" si="545"/>
        <v>0.32500000000000001</v>
      </c>
      <c r="AB78" s="22">
        <f t="shared" si="545"/>
        <v>0.32500000000000001</v>
      </c>
      <c r="AC78" s="22">
        <f t="shared" si="545"/>
        <v>0.38</v>
      </c>
      <c r="AD78" s="22">
        <f t="shared" si="545"/>
        <v>0.38</v>
      </c>
      <c r="AE78" s="22">
        <f t="shared" si="545"/>
        <v>0.46499999999999997</v>
      </c>
      <c r="AF78" s="22">
        <f t="shared" si="545"/>
        <v>0.46499999999999997</v>
      </c>
      <c r="AG78" s="22">
        <f t="shared" si="545"/>
        <v>0.42249999999999999</v>
      </c>
      <c r="AH78" s="22">
        <f t="shared" si="545"/>
        <v>0.35250000000000004</v>
      </c>
      <c r="AI78" s="22">
        <f t="shared" si="545"/>
        <v>0.3125</v>
      </c>
      <c r="AJ78" s="22">
        <f t="shared" si="545"/>
        <v>0.30249999999999999</v>
      </c>
      <c r="AK78" s="22">
        <f t="shared" si="545"/>
        <v>0.30249999999999999</v>
      </c>
      <c r="AL78" s="22">
        <f t="shared" si="545"/>
        <v>0.3125</v>
      </c>
      <c r="AM78" s="22">
        <f t="shared" si="545"/>
        <v>0.35250000000000004</v>
      </c>
      <c r="AN78" s="22">
        <f t="shared" si="545"/>
        <v>0.42249999999999999</v>
      </c>
    </row>
    <row r="79" spans="2:40">
      <c r="B79" s="7">
        <f>0.5*(B78+B80)</f>
        <v>77.5</v>
      </c>
      <c r="C79" s="7"/>
      <c r="D79" s="12">
        <f t="shared" ref="D79" si="546">0.5*(D78+D80)</f>
        <v>0.21250000000000002</v>
      </c>
      <c r="E79" s="12">
        <f t="shared" ref="E79" si="547">0.5*(E78+E80)</f>
        <v>0.25</v>
      </c>
      <c r="F79" s="12">
        <f t="shared" ref="F79" si="548">0.5*(F78+F80)</f>
        <v>0.25</v>
      </c>
      <c r="G79" s="12">
        <f t="shared" ref="G79" si="549">0.5*(G78+G80)</f>
        <v>0.32750000000000001</v>
      </c>
      <c r="H79" s="12">
        <f t="shared" ref="H79" si="550">0.5*(H78+H80)</f>
        <v>0.32750000000000001</v>
      </c>
      <c r="I79" s="12">
        <f t="shared" ref="I79" si="551">0.5*(I78+I80)</f>
        <v>0.40500000000000003</v>
      </c>
      <c r="J79" s="12">
        <f t="shared" ref="J79" si="552">0.5*(J78+J80)</f>
        <v>0.40500000000000003</v>
      </c>
      <c r="K79" s="12">
        <f t="shared" ref="K79" si="553">0.5*(K78+K80)</f>
        <v>0.41749999999999998</v>
      </c>
      <c r="L79" s="12">
        <f t="shared" ref="L79" si="554">0.5*(L78+L80)</f>
        <v>0.41749999999999998</v>
      </c>
      <c r="M79" s="12">
        <f t="shared" ref="M79" si="555">0.5*(M78+M80)</f>
        <v>0.41125</v>
      </c>
      <c r="N79" s="12">
        <f t="shared" ref="N79" si="556">0.5*(N78+N80)</f>
        <v>0.36624999999999996</v>
      </c>
      <c r="O79" s="12">
        <f t="shared" ref="O79" si="557">0.5*(O78+O80)</f>
        <v>0.28875000000000001</v>
      </c>
      <c r="P79" s="12">
        <f t="shared" ref="P79" si="558">0.5*(P78+P80)</f>
        <v>0.23124999999999998</v>
      </c>
      <c r="Q79" s="12">
        <f t="shared" ref="Q79" si="559">0.5*(Q78+Q80)</f>
        <v>0.23124999999999998</v>
      </c>
      <c r="R79" s="12">
        <f t="shared" ref="R79" si="560">0.5*(R78+R80)</f>
        <v>0.28875000000000001</v>
      </c>
      <c r="S79" s="12">
        <f t="shared" ref="S79" si="561">0.5*(S78+S80)</f>
        <v>0.36624999999999996</v>
      </c>
      <c r="T79" s="13">
        <f t="shared" ref="T79" si="562">0.5*(T78+T80)</f>
        <v>0.41125</v>
      </c>
      <c r="U79" s="14"/>
      <c r="V79" s="11">
        <f t="shared" ref="V79" si="563">0.5*(V78+V80)</f>
        <v>77.5</v>
      </c>
      <c r="W79" s="7"/>
      <c r="X79" s="12">
        <f t="shared" ref="X79" si="564">0.5*(X78+X80)</f>
        <v>0.29250000000000004</v>
      </c>
      <c r="Y79" s="12">
        <f t="shared" ref="Y79" si="565">0.5*(Y78+Y80)</f>
        <v>0.28000000000000003</v>
      </c>
      <c r="Z79" s="12">
        <f t="shared" ref="Z79" si="566">0.5*(Z78+Z80)</f>
        <v>0.28000000000000003</v>
      </c>
      <c r="AA79" s="12">
        <f t="shared" ref="AA79" si="567">0.5*(AA78+AA80)</f>
        <v>0.29749999999999999</v>
      </c>
      <c r="AB79" s="12">
        <f t="shared" ref="AB79" si="568">0.5*(AB78+AB80)</f>
        <v>0.29749999999999999</v>
      </c>
      <c r="AC79" s="12">
        <f t="shared" ref="AC79" si="569">0.5*(AC78+AC80)</f>
        <v>0.35</v>
      </c>
      <c r="AD79" s="12">
        <f t="shared" ref="AD79" si="570">0.5*(AD78+AD80)</f>
        <v>0.35</v>
      </c>
      <c r="AE79" s="12">
        <f t="shared" ref="AE79" si="571">0.5*(AE78+AE80)</f>
        <v>0.4375</v>
      </c>
      <c r="AF79" s="12">
        <f t="shared" ref="AF79" si="572">0.5*(AF78+AF80)</f>
        <v>0.4375</v>
      </c>
      <c r="AG79" s="12">
        <f t="shared" ref="AG79" si="573">0.5*(AG78+AG80)</f>
        <v>0.39374999999999999</v>
      </c>
      <c r="AH79" s="12">
        <f t="shared" ref="AH79" si="574">0.5*(AH78+AH80)</f>
        <v>0.32375000000000004</v>
      </c>
      <c r="AI79" s="12">
        <f t="shared" ref="AI79" si="575">0.5*(AI78+AI80)</f>
        <v>0.28875000000000001</v>
      </c>
      <c r="AJ79" s="12">
        <f t="shared" ref="AJ79" si="576">0.5*(AJ78+AJ80)</f>
        <v>0.28625</v>
      </c>
      <c r="AK79" s="12">
        <f t="shared" ref="AK79" si="577">0.5*(AK78+AK80)</f>
        <v>0.28625</v>
      </c>
      <c r="AL79" s="12">
        <f t="shared" ref="AL79" si="578">0.5*(AL78+AL80)</f>
        <v>0.28875000000000001</v>
      </c>
      <c r="AM79" s="12">
        <f t="shared" ref="AM79" si="579">0.5*(AM78+AM80)</f>
        <v>0.32375000000000004</v>
      </c>
      <c r="AN79" s="12">
        <f t="shared" ref="AN79" si="580">0.5*(AN78+AN80)</f>
        <v>0.39374999999999999</v>
      </c>
    </row>
    <row r="80" spans="2:40">
      <c r="B80" s="17">
        <v>80</v>
      </c>
      <c r="C80" s="18" t="s">
        <v>35</v>
      </c>
      <c r="D80" s="22" t="s">
        <v>107</v>
      </c>
      <c r="E80" s="22" t="s">
        <v>108</v>
      </c>
      <c r="F80" s="22" t="s">
        <v>108</v>
      </c>
      <c r="G80" s="22" t="s">
        <v>109</v>
      </c>
      <c r="H80" s="22" t="s">
        <v>109</v>
      </c>
      <c r="I80" s="22" t="s">
        <v>79</v>
      </c>
      <c r="J80" s="22" t="s">
        <v>79</v>
      </c>
      <c r="K80" s="22" t="s">
        <v>69</v>
      </c>
      <c r="L80" s="9" t="str">
        <f t="shared" si="37"/>
        <v>0,40</v>
      </c>
      <c r="M80" s="9">
        <f t="shared" si="38"/>
        <v>0.39</v>
      </c>
      <c r="N80" s="9">
        <f t="shared" si="39"/>
        <v>0.33499999999999996</v>
      </c>
      <c r="O80" s="9">
        <f t="shared" si="40"/>
        <v>0.25</v>
      </c>
      <c r="P80" s="9">
        <f t="shared" si="41"/>
        <v>0.19</v>
      </c>
      <c r="Q80" s="9">
        <f t="shared" si="42"/>
        <v>0.19</v>
      </c>
      <c r="R80" s="9">
        <f t="shared" si="43"/>
        <v>0.25</v>
      </c>
      <c r="S80" s="9">
        <f t="shared" si="44"/>
        <v>0.33499999999999996</v>
      </c>
      <c r="T80" s="9">
        <f t="shared" si="45"/>
        <v>0.39</v>
      </c>
      <c r="U80" s="16"/>
      <c r="V80" s="21">
        <v>80</v>
      </c>
      <c r="W80" s="18" t="s">
        <v>37</v>
      </c>
      <c r="X80" s="19" t="s">
        <v>110</v>
      </c>
      <c r="Y80" s="19" t="s">
        <v>111</v>
      </c>
      <c r="Z80" s="19" t="s">
        <v>111</v>
      </c>
      <c r="AA80" s="19" t="s">
        <v>112</v>
      </c>
      <c r="AB80" s="19" t="s">
        <v>112</v>
      </c>
      <c r="AC80" s="19" t="s">
        <v>82</v>
      </c>
      <c r="AD80" s="19" t="s">
        <v>82</v>
      </c>
      <c r="AE80" s="19" t="s">
        <v>113</v>
      </c>
      <c r="AF80" s="9" t="str">
        <f t="shared" si="46"/>
        <v>0,41</v>
      </c>
      <c r="AG80" s="9">
        <f t="shared" si="47"/>
        <v>0.36499999999999999</v>
      </c>
      <c r="AH80" s="9">
        <f t="shared" si="48"/>
        <v>0.29500000000000004</v>
      </c>
      <c r="AI80" s="9">
        <f t="shared" si="49"/>
        <v>0.26500000000000001</v>
      </c>
      <c r="AJ80" s="9">
        <f t="shared" si="50"/>
        <v>0.27</v>
      </c>
      <c r="AK80" s="9">
        <f t="shared" si="51"/>
        <v>0.27</v>
      </c>
      <c r="AL80" s="9">
        <f t="shared" si="52"/>
        <v>0.26500000000000001</v>
      </c>
      <c r="AM80" s="9">
        <f t="shared" si="53"/>
        <v>0.29500000000000004</v>
      </c>
      <c r="AN80" s="9">
        <f t="shared" si="54"/>
        <v>0.36499999999999999</v>
      </c>
    </row>
    <row r="81" spans="2:40">
      <c r="B81" s="7">
        <f>0.5*(B80+B82)</f>
        <v>82.5</v>
      </c>
      <c r="C81" s="7"/>
      <c r="D81" s="12">
        <f t="shared" ref="D81" si="581">0.5*(D80+D82)</f>
        <v>0.15250000000000002</v>
      </c>
      <c r="E81" s="12">
        <f t="shared" ref="E81" si="582">0.5*(E80+E82)</f>
        <v>0.1875</v>
      </c>
      <c r="F81" s="12">
        <f t="shared" ref="F81" si="583">0.5*(F80+F82)</f>
        <v>0.1875</v>
      </c>
      <c r="G81" s="12">
        <f t="shared" ref="G81" si="584">0.5*(G80+G82)</f>
        <v>0.26</v>
      </c>
      <c r="H81" s="12">
        <f t="shared" ref="H81" si="585">0.5*(H80+H82)</f>
        <v>0.26</v>
      </c>
      <c r="I81" s="12">
        <f t="shared" ref="I81" si="586">0.5*(I80+I82)</f>
        <v>0.35250000000000004</v>
      </c>
      <c r="J81" s="12">
        <f t="shared" ref="J81" si="587">0.5*(J80+J82)</f>
        <v>0.35250000000000004</v>
      </c>
      <c r="K81" s="12">
        <f t="shared" ref="K81" si="588">0.5*(K80+K82)</f>
        <v>0.38250000000000001</v>
      </c>
      <c r="L81" s="12">
        <f t="shared" ref="L81" si="589">0.5*(L80+L82)</f>
        <v>0.38250000000000001</v>
      </c>
      <c r="M81" s="12">
        <f t="shared" ref="M81" si="590">0.5*(M80+M82)</f>
        <v>0.36750000000000005</v>
      </c>
      <c r="N81" s="12">
        <f t="shared" ref="N81" si="591">0.5*(N80+N82)</f>
        <v>0.30624999999999997</v>
      </c>
      <c r="O81" s="12">
        <f t="shared" ref="O81" si="592">0.5*(O80+O82)</f>
        <v>0.22375</v>
      </c>
      <c r="P81" s="12">
        <f t="shared" ref="P81" si="593">0.5*(P80+P82)</f>
        <v>0.16999999999999998</v>
      </c>
      <c r="Q81" s="12">
        <f t="shared" ref="Q81" si="594">0.5*(Q80+Q82)</f>
        <v>0.16999999999999998</v>
      </c>
      <c r="R81" s="12">
        <f t="shared" ref="R81" si="595">0.5*(R80+R82)</f>
        <v>0.22375</v>
      </c>
      <c r="S81" s="12">
        <f t="shared" ref="S81" si="596">0.5*(S80+S82)</f>
        <v>0.30624999999999997</v>
      </c>
      <c r="T81" s="13">
        <f t="shared" ref="T81" si="597">0.5*(T80+T82)</f>
        <v>0.36750000000000005</v>
      </c>
      <c r="U81" s="14"/>
      <c r="V81" s="11">
        <f t="shared" ref="V81" si="598">0.5*(V80+V82)</f>
        <v>82.5</v>
      </c>
      <c r="W81" s="7"/>
      <c r="X81" s="12">
        <f t="shared" ref="X81" si="599">0.5*(X80+X82)</f>
        <v>0.27</v>
      </c>
      <c r="Y81" s="12">
        <f t="shared" ref="Y81" si="600">0.5*(Y80+Y82)</f>
        <v>0.24249999999999999</v>
      </c>
      <c r="Z81" s="12">
        <f t="shared" ref="Z81" si="601">0.5*(Z80+Z82)</f>
        <v>0.24249999999999999</v>
      </c>
      <c r="AA81" s="12">
        <f t="shared" ref="AA81" si="602">0.5*(AA80+AA82)</f>
        <v>0.2475</v>
      </c>
      <c r="AB81" s="12">
        <f t="shared" ref="AB81" si="603">0.5*(AB80+AB82)</f>
        <v>0.2475</v>
      </c>
      <c r="AC81" s="12">
        <f t="shared" ref="AC81" si="604">0.5*(AC80+AC82)</f>
        <v>0.29500000000000004</v>
      </c>
      <c r="AD81" s="12">
        <f t="shared" ref="AD81" si="605">0.5*(AD80+AD82)</f>
        <v>0.29500000000000004</v>
      </c>
      <c r="AE81" s="12">
        <f t="shared" ref="AE81" si="606">0.5*(AE80+AE82)</f>
        <v>0.38249999999999995</v>
      </c>
      <c r="AF81" s="12">
        <f t="shared" ref="AF81" si="607">0.5*(AF80+AF82)</f>
        <v>0.38249999999999995</v>
      </c>
      <c r="AG81" s="12">
        <f t="shared" ref="AG81" si="608">0.5*(AG80+AG82)</f>
        <v>0.33875</v>
      </c>
      <c r="AH81" s="12">
        <f t="shared" ref="AH81" si="609">0.5*(AH80+AH82)</f>
        <v>0.27125000000000005</v>
      </c>
      <c r="AI81" s="12">
        <f t="shared" ref="AI81" si="610">0.5*(AI80+AI82)</f>
        <v>0.245</v>
      </c>
      <c r="AJ81" s="12">
        <f t="shared" ref="AJ81" si="611">0.5*(AJ80+AJ82)</f>
        <v>0.25624999999999998</v>
      </c>
      <c r="AK81" s="12">
        <f t="shared" ref="AK81" si="612">0.5*(AK80+AK82)</f>
        <v>0.25624999999999998</v>
      </c>
      <c r="AL81" s="12">
        <f t="shared" ref="AL81" si="613">0.5*(AL80+AL82)</f>
        <v>0.245</v>
      </c>
      <c r="AM81" s="12">
        <f t="shared" ref="AM81" si="614">0.5*(AM80+AM82)</f>
        <v>0.27125000000000005</v>
      </c>
      <c r="AN81" s="12">
        <f t="shared" ref="AN81" si="615">0.5*(AN80+AN82)</f>
        <v>0.33875</v>
      </c>
    </row>
    <row r="82" spans="2:40">
      <c r="B82" s="17">
        <v>85</v>
      </c>
      <c r="C82" s="18" t="s">
        <v>35</v>
      </c>
      <c r="D82" s="22">
        <f>0.5*(D80+D84)</f>
        <v>0.13500000000000001</v>
      </c>
      <c r="E82" s="22">
        <f t="shared" ref="E82:AN82" si="616">0.5*(E80+E84)</f>
        <v>0.16499999999999998</v>
      </c>
      <c r="F82" s="22">
        <f t="shared" si="616"/>
        <v>0.16499999999999998</v>
      </c>
      <c r="G82" s="22">
        <f t="shared" si="616"/>
        <v>0.22999999999999998</v>
      </c>
      <c r="H82" s="22">
        <f t="shared" si="616"/>
        <v>0.22999999999999998</v>
      </c>
      <c r="I82" s="22">
        <f t="shared" si="616"/>
        <v>0.32500000000000001</v>
      </c>
      <c r="J82" s="22">
        <f t="shared" si="616"/>
        <v>0.32500000000000001</v>
      </c>
      <c r="K82" s="22">
        <f t="shared" si="616"/>
        <v>0.36499999999999999</v>
      </c>
      <c r="L82" s="22">
        <f t="shared" si="616"/>
        <v>0.36499999999999999</v>
      </c>
      <c r="M82" s="22">
        <f t="shared" si="616"/>
        <v>0.34500000000000003</v>
      </c>
      <c r="N82" s="22">
        <f t="shared" si="616"/>
        <v>0.27749999999999997</v>
      </c>
      <c r="O82" s="22">
        <f t="shared" si="616"/>
        <v>0.19750000000000001</v>
      </c>
      <c r="P82" s="22">
        <f t="shared" si="616"/>
        <v>0.15</v>
      </c>
      <c r="Q82" s="22">
        <f t="shared" si="616"/>
        <v>0.15</v>
      </c>
      <c r="R82" s="22">
        <f t="shared" si="616"/>
        <v>0.19750000000000001</v>
      </c>
      <c r="S82" s="22">
        <f t="shared" si="616"/>
        <v>0.27749999999999997</v>
      </c>
      <c r="T82" s="186">
        <f t="shared" si="616"/>
        <v>0.34500000000000003</v>
      </c>
      <c r="U82" s="188"/>
      <c r="V82" s="187">
        <f t="shared" si="616"/>
        <v>85</v>
      </c>
      <c r="W82" s="18" t="s">
        <v>37</v>
      </c>
      <c r="X82" s="22">
        <f t="shared" si="616"/>
        <v>0.26</v>
      </c>
      <c r="Y82" s="22">
        <f t="shared" si="616"/>
        <v>0.22500000000000001</v>
      </c>
      <c r="Z82" s="22">
        <f t="shared" si="616"/>
        <v>0.22500000000000001</v>
      </c>
      <c r="AA82" s="22">
        <f t="shared" si="616"/>
        <v>0.22500000000000001</v>
      </c>
      <c r="AB82" s="22">
        <f t="shared" si="616"/>
        <v>0.22500000000000001</v>
      </c>
      <c r="AC82" s="22">
        <f t="shared" si="616"/>
        <v>0.27</v>
      </c>
      <c r="AD82" s="22">
        <f t="shared" si="616"/>
        <v>0.27</v>
      </c>
      <c r="AE82" s="22">
        <f t="shared" si="616"/>
        <v>0.35499999999999998</v>
      </c>
      <c r="AF82" s="22">
        <f t="shared" si="616"/>
        <v>0.35499999999999998</v>
      </c>
      <c r="AG82" s="22">
        <f t="shared" si="616"/>
        <v>0.3125</v>
      </c>
      <c r="AH82" s="22">
        <f t="shared" si="616"/>
        <v>0.24750000000000003</v>
      </c>
      <c r="AI82" s="22">
        <f t="shared" si="616"/>
        <v>0.22500000000000001</v>
      </c>
      <c r="AJ82" s="22">
        <f t="shared" si="616"/>
        <v>0.24249999999999999</v>
      </c>
      <c r="AK82" s="22">
        <f t="shared" si="616"/>
        <v>0.24249999999999999</v>
      </c>
      <c r="AL82" s="22">
        <f t="shared" si="616"/>
        <v>0.22500000000000001</v>
      </c>
      <c r="AM82" s="22">
        <f t="shared" si="616"/>
        <v>0.24750000000000003</v>
      </c>
      <c r="AN82" s="22">
        <f t="shared" si="616"/>
        <v>0.3125</v>
      </c>
    </row>
    <row r="83" spans="2:40">
      <c r="B83" s="7">
        <f>0.5*(B82+B84)</f>
        <v>87.5</v>
      </c>
      <c r="C83" s="7"/>
      <c r="D83" s="12">
        <f t="shared" ref="D83" si="617">0.5*(D82+D84)</f>
        <v>0.11750000000000001</v>
      </c>
      <c r="E83" s="12">
        <f t="shared" ref="E83" si="618">0.5*(E82+E84)</f>
        <v>0.14249999999999999</v>
      </c>
      <c r="F83" s="12">
        <f t="shared" ref="F83" si="619">0.5*(F82+F84)</f>
        <v>0.14249999999999999</v>
      </c>
      <c r="G83" s="12">
        <f t="shared" ref="G83" si="620">0.5*(G82+G84)</f>
        <v>0.2</v>
      </c>
      <c r="H83" s="12">
        <f t="shared" ref="H83" si="621">0.5*(H82+H84)</f>
        <v>0.2</v>
      </c>
      <c r="I83" s="12">
        <f t="shared" ref="I83" si="622">0.5*(I82+I84)</f>
        <v>0.29749999999999999</v>
      </c>
      <c r="J83" s="12">
        <f t="shared" ref="J83" si="623">0.5*(J82+J84)</f>
        <v>0.29749999999999999</v>
      </c>
      <c r="K83" s="12">
        <f t="shared" ref="K83" si="624">0.5*(K82+K84)</f>
        <v>0.34750000000000003</v>
      </c>
      <c r="L83" s="12">
        <f t="shared" ref="L83" si="625">0.5*(L82+L84)</f>
        <v>0.34750000000000003</v>
      </c>
      <c r="M83" s="12">
        <f t="shared" ref="M83" si="626">0.5*(M82+M84)</f>
        <v>0.32250000000000001</v>
      </c>
      <c r="N83" s="12">
        <f t="shared" ref="N83" si="627">0.5*(N82+N84)</f>
        <v>0.24875</v>
      </c>
      <c r="O83" s="12">
        <f t="shared" ref="O83" si="628">0.5*(O82+O84)</f>
        <v>0.17125000000000001</v>
      </c>
      <c r="P83" s="12">
        <f t="shared" ref="P83" si="629">0.5*(P82+P84)</f>
        <v>0.13</v>
      </c>
      <c r="Q83" s="12">
        <f t="shared" ref="Q83" si="630">0.5*(Q82+Q84)</f>
        <v>0.13</v>
      </c>
      <c r="R83" s="12">
        <f t="shared" ref="R83" si="631">0.5*(R82+R84)</f>
        <v>0.17125000000000001</v>
      </c>
      <c r="S83" s="12">
        <f t="shared" ref="S83" si="632">0.5*(S82+S84)</f>
        <v>0.24875</v>
      </c>
      <c r="T83" s="13">
        <f t="shared" ref="T83" si="633">0.5*(T82+T84)</f>
        <v>0.32250000000000001</v>
      </c>
      <c r="U83" s="14"/>
      <c r="V83" s="11">
        <f t="shared" ref="V83" si="634">0.5*(V82+V84)</f>
        <v>87.5</v>
      </c>
      <c r="W83" s="7"/>
      <c r="X83" s="12">
        <f t="shared" ref="X83" si="635">0.5*(X82+X84)</f>
        <v>0.25</v>
      </c>
      <c r="Y83" s="12">
        <f t="shared" ref="Y83" si="636">0.5*(Y82+Y84)</f>
        <v>0.20750000000000002</v>
      </c>
      <c r="Z83" s="12">
        <f t="shared" ref="Z83" si="637">0.5*(Z82+Z84)</f>
        <v>0.20750000000000002</v>
      </c>
      <c r="AA83" s="12">
        <f t="shared" ref="AA83" si="638">0.5*(AA82+AA84)</f>
        <v>0.20250000000000001</v>
      </c>
      <c r="AB83" s="12">
        <f t="shared" ref="AB83" si="639">0.5*(AB82+AB84)</f>
        <v>0.20250000000000001</v>
      </c>
      <c r="AC83" s="12">
        <f t="shared" ref="AC83" si="640">0.5*(AC82+AC84)</f>
        <v>0.245</v>
      </c>
      <c r="AD83" s="12">
        <f t="shared" ref="AD83" si="641">0.5*(AD82+AD84)</f>
        <v>0.245</v>
      </c>
      <c r="AE83" s="12">
        <f t="shared" ref="AE83" si="642">0.5*(AE82+AE84)</f>
        <v>0.32750000000000001</v>
      </c>
      <c r="AF83" s="12">
        <f t="shared" ref="AF83" si="643">0.5*(AF82+AF84)</f>
        <v>0.32750000000000001</v>
      </c>
      <c r="AG83" s="12">
        <f t="shared" ref="AG83" si="644">0.5*(AG82+AG84)</f>
        <v>0.28625</v>
      </c>
      <c r="AH83" s="12">
        <f t="shared" ref="AH83" si="645">0.5*(AH82+AH84)</f>
        <v>0.22375</v>
      </c>
      <c r="AI83" s="12">
        <f t="shared" ref="AI83" si="646">0.5*(AI82+AI84)</f>
        <v>0.20500000000000002</v>
      </c>
      <c r="AJ83" s="12">
        <f t="shared" ref="AJ83" si="647">0.5*(AJ82+AJ84)</f>
        <v>0.22875000000000001</v>
      </c>
      <c r="AK83" s="12">
        <f t="shared" ref="AK83" si="648">0.5*(AK82+AK84)</f>
        <v>0.22875000000000001</v>
      </c>
      <c r="AL83" s="12">
        <f t="shared" ref="AL83" si="649">0.5*(AL82+AL84)</f>
        <v>0.20500000000000002</v>
      </c>
      <c r="AM83" s="12">
        <f t="shared" ref="AM83" si="650">0.5*(AM82+AM84)</f>
        <v>0.22375</v>
      </c>
      <c r="AN83" s="12">
        <f t="shared" ref="AN83" si="651">0.5*(AN82+AN84)</f>
        <v>0.28625</v>
      </c>
    </row>
    <row r="84" spans="2:40">
      <c r="B84" s="17">
        <v>90</v>
      </c>
      <c r="C84" s="18" t="s">
        <v>35</v>
      </c>
      <c r="D84" s="22" t="s">
        <v>114</v>
      </c>
      <c r="E84" s="22" t="s">
        <v>115</v>
      </c>
      <c r="F84" s="22" t="s">
        <v>115</v>
      </c>
      <c r="G84" s="22" t="s">
        <v>107</v>
      </c>
      <c r="H84" s="22" t="s">
        <v>107</v>
      </c>
      <c r="I84" s="22" t="s">
        <v>112</v>
      </c>
      <c r="J84" s="22" t="s">
        <v>112</v>
      </c>
      <c r="K84" s="22" t="s">
        <v>106</v>
      </c>
      <c r="L84" s="9" t="str">
        <f t="shared" si="37"/>
        <v>0,33</v>
      </c>
      <c r="M84" s="9">
        <f t="shared" si="38"/>
        <v>0.30000000000000004</v>
      </c>
      <c r="N84" s="9">
        <f t="shared" si="39"/>
        <v>0.22000000000000003</v>
      </c>
      <c r="O84" s="9">
        <f t="shared" si="40"/>
        <v>0.14500000000000002</v>
      </c>
      <c r="P84" s="9">
        <f t="shared" si="41"/>
        <v>0.11</v>
      </c>
      <c r="Q84" s="9">
        <f t="shared" si="42"/>
        <v>0.11</v>
      </c>
      <c r="R84" s="9">
        <f t="shared" si="43"/>
        <v>0.14500000000000002</v>
      </c>
      <c r="S84" s="9">
        <f t="shared" si="44"/>
        <v>0.22000000000000003</v>
      </c>
      <c r="T84" s="9">
        <f t="shared" si="45"/>
        <v>0.30000000000000004</v>
      </c>
      <c r="U84" s="16"/>
      <c r="V84" s="21">
        <v>90</v>
      </c>
      <c r="W84" s="18" t="s">
        <v>37</v>
      </c>
      <c r="X84" s="19" t="s">
        <v>116</v>
      </c>
      <c r="Y84" s="19" t="s">
        <v>117</v>
      </c>
      <c r="Z84" s="19" t="s">
        <v>117</v>
      </c>
      <c r="AA84" s="19" t="s">
        <v>118</v>
      </c>
      <c r="AB84" s="19" t="s">
        <v>118</v>
      </c>
      <c r="AC84" s="19" t="s">
        <v>119</v>
      </c>
      <c r="AD84" s="19" t="s">
        <v>119</v>
      </c>
      <c r="AE84" s="19" t="s">
        <v>120</v>
      </c>
      <c r="AF84" s="9" t="str">
        <f t="shared" si="46"/>
        <v>0,30</v>
      </c>
      <c r="AG84" s="9">
        <f t="shared" si="47"/>
        <v>0.26</v>
      </c>
      <c r="AH84" s="9">
        <f t="shared" si="48"/>
        <v>0.2</v>
      </c>
      <c r="AI84" s="9">
        <f t="shared" si="49"/>
        <v>0.185</v>
      </c>
      <c r="AJ84" s="9">
        <f t="shared" si="50"/>
        <v>0.215</v>
      </c>
      <c r="AK84" s="9">
        <f t="shared" si="51"/>
        <v>0.215</v>
      </c>
      <c r="AL84" s="9">
        <f t="shared" si="52"/>
        <v>0.185</v>
      </c>
      <c r="AM84" s="9">
        <f t="shared" si="53"/>
        <v>0.2</v>
      </c>
      <c r="AN84" s="9">
        <f t="shared" si="54"/>
        <v>0.26</v>
      </c>
    </row>
    <row r="87" spans="2:40">
      <c r="B87" s="857" t="s">
        <v>133</v>
      </c>
      <c r="C87" s="857"/>
      <c r="D87" s="857"/>
      <c r="E87" s="857"/>
      <c r="F87" s="857"/>
      <c r="G87" s="857"/>
      <c r="H87" s="857"/>
      <c r="I87" s="857"/>
      <c r="J87" s="857"/>
      <c r="K87" s="857"/>
      <c r="L87" s="23"/>
      <c r="M87" s="23"/>
      <c r="N87" s="23"/>
      <c r="O87" s="23"/>
      <c r="P87" s="23"/>
      <c r="Q87" s="23"/>
      <c r="R87" s="23"/>
      <c r="S87" s="23"/>
      <c r="T87" s="23"/>
      <c r="V87" s="857" t="s">
        <v>133</v>
      </c>
      <c r="W87" s="857"/>
      <c r="X87" s="857"/>
      <c r="Y87" s="857"/>
      <c r="Z87" s="857"/>
      <c r="AA87" s="857"/>
      <c r="AB87" s="857"/>
      <c r="AC87" s="857"/>
      <c r="AD87" s="857"/>
      <c r="AE87" s="857"/>
    </row>
    <row r="88" spans="2:40">
      <c r="B88" s="852" t="s">
        <v>121</v>
      </c>
      <c r="C88" s="852" t="s">
        <v>33</v>
      </c>
      <c r="D88" s="854" t="s">
        <v>34</v>
      </c>
      <c r="E88" s="855"/>
      <c r="F88" s="855"/>
      <c r="G88" s="855"/>
      <c r="H88" s="855"/>
      <c r="I88" s="855"/>
      <c r="J88" s="855"/>
      <c r="K88" s="856"/>
      <c r="L88" s="15"/>
      <c r="M88" s="15"/>
      <c r="N88" s="15"/>
      <c r="O88" s="15"/>
      <c r="P88" s="15"/>
      <c r="Q88" s="15"/>
      <c r="R88" s="15"/>
      <c r="S88" s="15"/>
      <c r="T88" s="15"/>
      <c r="V88" s="852" t="s">
        <v>121</v>
      </c>
      <c r="W88" s="852" t="s">
        <v>33</v>
      </c>
      <c r="X88" s="854" t="s">
        <v>34</v>
      </c>
      <c r="Y88" s="855"/>
      <c r="Z88" s="855"/>
      <c r="AA88" s="855"/>
      <c r="AB88" s="855"/>
      <c r="AC88" s="855"/>
      <c r="AD88" s="855"/>
      <c r="AE88" s="856"/>
    </row>
    <row r="89" spans="2:40">
      <c r="B89" s="853"/>
      <c r="C89" s="853"/>
      <c r="D89" s="24">
        <v>180</v>
      </c>
      <c r="E89" s="24">
        <v>225</v>
      </c>
      <c r="F89" s="24">
        <v>270</v>
      </c>
      <c r="G89" s="24">
        <v>315</v>
      </c>
      <c r="H89" s="24">
        <v>0</v>
      </c>
      <c r="I89" s="24">
        <v>45</v>
      </c>
      <c r="J89" s="24">
        <v>90</v>
      </c>
      <c r="K89" s="24">
        <v>135</v>
      </c>
      <c r="L89" s="15">
        <v>360</v>
      </c>
      <c r="M89" s="15">
        <f t="shared" ref="M89:O90" si="652">0.5*(H89+I89)</f>
        <v>22.5</v>
      </c>
      <c r="N89" s="15">
        <f t="shared" si="652"/>
        <v>67.5</v>
      </c>
      <c r="O89" s="15">
        <f t="shared" si="652"/>
        <v>112.5</v>
      </c>
      <c r="P89" s="15">
        <f>0.5*(K89+D89)</f>
        <v>157.5</v>
      </c>
      <c r="Q89" s="15">
        <f t="shared" ref="Q89:S90" si="653">0.5*(D89+E89)</f>
        <v>202.5</v>
      </c>
      <c r="R89" s="15">
        <f t="shared" si="653"/>
        <v>247.5</v>
      </c>
      <c r="S89" s="15">
        <f t="shared" si="653"/>
        <v>292.5</v>
      </c>
      <c r="T89" s="15">
        <f>0.5*(G89+L89)</f>
        <v>337.5</v>
      </c>
      <c r="V89" s="853"/>
      <c r="W89" s="853"/>
      <c r="X89" s="24">
        <v>180</v>
      </c>
      <c r="Y89" s="24">
        <v>225</v>
      </c>
      <c r="Z89" s="24">
        <v>270</v>
      </c>
      <c r="AA89" s="24">
        <v>315</v>
      </c>
      <c r="AB89" s="24">
        <v>0</v>
      </c>
      <c r="AC89" s="24">
        <v>45</v>
      </c>
      <c r="AD89" s="24">
        <v>90</v>
      </c>
      <c r="AE89" s="24">
        <v>135</v>
      </c>
      <c r="AF89" s="15">
        <v>360</v>
      </c>
      <c r="AG89" s="15">
        <f t="shared" ref="AG89:AI90" si="654">0.5*(AB89+AC89)</f>
        <v>22.5</v>
      </c>
      <c r="AH89" s="15">
        <f t="shared" si="654"/>
        <v>67.5</v>
      </c>
      <c r="AI89" s="15">
        <f t="shared" si="654"/>
        <v>112.5</v>
      </c>
      <c r="AJ89" s="15">
        <f>0.5*(AE89+X89)</f>
        <v>157.5</v>
      </c>
      <c r="AK89" s="15">
        <f t="shared" ref="AK89:AM90" si="655">0.5*(X89+Y89)</f>
        <v>202.5</v>
      </c>
      <c r="AL89" s="15">
        <f t="shared" si="655"/>
        <v>247.5</v>
      </c>
      <c r="AM89" s="15">
        <f t="shared" si="655"/>
        <v>292.5</v>
      </c>
      <c r="AN89" s="15">
        <f>0.5*(AA89+AF89)</f>
        <v>337.5</v>
      </c>
    </row>
    <row r="90" spans="2:40">
      <c r="B90" s="25">
        <v>0</v>
      </c>
      <c r="C90" s="18" t="s">
        <v>35</v>
      </c>
      <c r="D90" s="19" t="s">
        <v>36</v>
      </c>
      <c r="E90" s="19" t="s">
        <v>36</v>
      </c>
      <c r="F90" s="19" t="s">
        <v>36</v>
      </c>
      <c r="G90" s="19" t="s">
        <v>36</v>
      </c>
      <c r="H90" s="19" t="s">
        <v>36</v>
      </c>
      <c r="I90" s="19" t="s">
        <v>36</v>
      </c>
      <c r="J90" s="19" t="s">
        <v>36</v>
      </c>
      <c r="K90" s="19" t="s">
        <v>36</v>
      </c>
      <c r="L90" s="19" t="str">
        <f>H90</f>
        <v>1,00</v>
      </c>
      <c r="M90" s="19">
        <f t="shared" si="652"/>
        <v>1</v>
      </c>
      <c r="N90" s="19">
        <f t="shared" si="652"/>
        <v>1</v>
      </c>
      <c r="O90" s="19">
        <f t="shared" si="652"/>
        <v>1</v>
      </c>
      <c r="P90" s="19">
        <f>0.5*(K90+D90)</f>
        <v>1</v>
      </c>
      <c r="Q90" s="19">
        <f t="shared" si="653"/>
        <v>1</v>
      </c>
      <c r="R90" s="19">
        <f t="shared" si="653"/>
        <v>1</v>
      </c>
      <c r="S90" s="19">
        <f t="shared" si="653"/>
        <v>1</v>
      </c>
      <c r="T90" s="19">
        <f>0.5*(G90+L90)</f>
        <v>1</v>
      </c>
      <c r="V90" s="26">
        <v>0</v>
      </c>
      <c r="W90" s="18" t="s">
        <v>37</v>
      </c>
      <c r="X90" s="19" t="s">
        <v>36</v>
      </c>
      <c r="Y90" s="19" t="s">
        <v>36</v>
      </c>
      <c r="Z90" s="19" t="s">
        <v>36</v>
      </c>
      <c r="AA90" s="19" t="s">
        <v>36</v>
      </c>
      <c r="AB90" s="19" t="s">
        <v>36</v>
      </c>
      <c r="AC90" s="19" t="s">
        <v>36</v>
      </c>
      <c r="AD90" s="19" t="s">
        <v>36</v>
      </c>
      <c r="AE90" s="19" t="s">
        <v>36</v>
      </c>
      <c r="AF90" s="19" t="str">
        <f>AB90</f>
        <v>1,00</v>
      </c>
      <c r="AG90" s="19">
        <f t="shared" si="654"/>
        <v>1</v>
      </c>
      <c r="AH90" s="19">
        <f t="shared" si="654"/>
        <v>1</v>
      </c>
      <c r="AI90" s="19">
        <f t="shared" si="654"/>
        <v>1</v>
      </c>
      <c r="AJ90" s="19">
        <f>0.5*(AE90+X90)</f>
        <v>1</v>
      </c>
      <c r="AK90" s="19">
        <f t="shared" si="655"/>
        <v>1</v>
      </c>
      <c r="AL90" s="19">
        <f t="shared" si="655"/>
        <v>1</v>
      </c>
      <c r="AM90" s="19">
        <f t="shared" si="655"/>
        <v>1</v>
      </c>
      <c r="AN90" s="19">
        <f>0.5*(AA90+AF90)</f>
        <v>1</v>
      </c>
    </row>
    <row r="91" spans="2:40">
      <c r="B91" s="27">
        <f>0.5*(B90+B92)</f>
        <v>5</v>
      </c>
      <c r="C91" s="12"/>
      <c r="D91" s="12">
        <f t="shared" ref="D91:AN91" si="656">0.5*(D90+D92)</f>
        <v>0.98499999999999999</v>
      </c>
      <c r="E91" s="12">
        <f t="shared" si="656"/>
        <v>0.98499999999999999</v>
      </c>
      <c r="F91" s="12">
        <f t="shared" si="656"/>
        <v>0.97499999999999998</v>
      </c>
      <c r="G91" s="12">
        <f t="shared" si="656"/>
        <v>0.97499999999999998</v>
      </c>
      <c r="H91" s="12">
        <f t="shared" si="656"/>
        <v>1</v>
      </c>
      <c r="I91" s="12">
        <f t="shared" si="656"/>
        <v>1</v>
      </c>
      <c r="J91" s="12">
        <f t="shared" si="656"/>
        <v>1</v>
      </c>
      <c r="K91" s="12">
        <f t="shared" si="656"/>
        <v>0.995</v>
      </c>
      <c r="L91" s="12">
        <f t="shared" si="656"/>
        <v>1</v>
      </c>
      <c r="M91" s="12">
        <f t="shared" si="656"/>
        <v>1</v>
      </c>
      <c r="N91" s="12">
        <f t="shared" si="656"/>
        <v>1</v>
      </c>
      <c r="O91" s="12">
        <f t="shared" si="656"/>
        <v>0.99750000000000005</v>
      </c>
      <c r="P91" s="12">
        <f t="shared" si="656"/>
        <v>0.99</v>
      </c>
      <c r="Q91" s="12">
        <f t="shared" si="656"/>
        <v>0.98499999999999999</v>
      </c>
      <c r="R91" s="12">
        <f t="shared" si="656"/>
        <v>0.98</v>
      </c>
      <c r="S91" s="12">
        <f t="shared" si="656"/>
        <v>0.97499999999999998</v>
      </c>
      <c r="T91" s="13">
        <f t="shared" si="656"/>
        <v>0.98750000000000004</v>
      </c>
      <c r="U91" s="28"/>
      <c r="V91" s="29">
        <f t="shared" si="656"/>
        <v>5</v>
      </c>
      <c r="W91" s="12"/>
      <c r="X91" s="12">
        <f t="shared" si="656"/>
        <v>0.98499999999999999</v>
      </c>
      <c r="Y91" s="12">
        <f t="shared" si="656"/>
        <v>0.995</v>
      </c>
      <c r="Z91" s="12">
        <f t="shared" si="656"/>
        <v>0.995</v>
      </c>
      <c r="AA91" s="12">
        <f t="shared" si="656"/>
        <v>0.98</v>
      </c>
      <c r="AB91" s="12">
        <f t="shared" si="656"/>
        <v>0.98499999999999999</v>
      </c>
      <c r="AC91" s="12">
        <f t="shared" si="656"/>
        <v>1</v>
      </c>
      <c r="AD91" s="12">
        <f t="shared" si="656"/>
        <v>1</v>
      </c>
      <c r="AE91" s="12">
        <f t="shared" si="656"/>
        <v>0.98499999999999999</v>
      </c>
      <c r="AF91" s="12">
        <f t="shared" si="656"/>
        <v>0.98499999999999999</v>
      </c>
      <c r="AG91" s="12">
        <f t="shared" si="656"/>
        <v>0.99249999999999994</v>
      </c>
      <c r="AH91" s="12">
        <f t="shared" si="656"/>
        <v>1</v>
      </c>
      <c r="AI91" s="12">
        <f t="shared" si="656"/>
        <v>0.99249999999999994</v>
      </c>
      <c r="AJ91" s="12">
        <f t="shared" si="656"/>
        <v>0.98499999999999999</v>
      </c>
      <c r="AK91" s="12">
        <f t="shared" si="656"/>
        <v>0.99</v>
      </c>
      <c r="AL91" s="12">
        <f t="shared" si="656"/>
        <v>0.995</v>
      </c>
      <c r="AM91" s="12">
        <f t="shared" si="656"/>
        <v>0.98750000000000004</v>
      </c>
      <c r="AN91" s="12">
        <f t="shared" si="656"/>
        <v>0.98249999999999993</v>
      </c>
    </row>
    <row r="92" spans="2:40">
      <c r="B92" s="25">
        <v>10</v>
      </c>
      <c r="C92" s="18" t="s">
        <v>35</v>
      </c>
      <c r="D92" s="19" t="s">
        <v>39</v>
      </c>
      <c r="E92" s="19" t="s">
        <v>39</v>
      </c>
      <c r="F92" s="19" t="s">
        <v>41</v>
      </c>
      <c r="G92" s="19" t="s">
        <v>41</v>
      </c>
      <c r="H92" s="19" t="s">
        <v>36</v>
      </c>
      <c r="I92" s="19" t="s">
        <v>36</v>
      </c>
      <c r="J92" s="19" t="s">
        <v>36</v>
      </c>
      <c r="K92" s="19" t="s">
        <v>64</v>
      </c>
      <c r="L92" s="19" t="str">
        <f t="shared" ref="L92:L108" si="657">H92</f>
        <v>1,00</v>
      </c>
      <c r="M92" s="19">
        <f t="shared" ref="M92:M108" si="658">0.5*(H92+I92)</f>
        <v>1</v>
      </c>
      <c r="N92" s="19">
        <f t="shared" ref="N92:N108" si="659">0.5*(I92+J92)</f>
        <v>1</v>
      </c>
      <c r="O92" s="19">
        <f t="shared" ref="O92:O108" si="660">0.5*(J92+K92)</f>
        <v>0.995</v>
      </c>
      <c r="P92" s="19">
        <f t="shared" ref="P92:P108" si="661">0.5*(K92+D92)</f>
        <v>0.98</v>
      </c>
      <c r="Q92" s="19">
        <f t="shared" ref="Q92:Q108" si="662">0.5*(D92+E92)</f>
        <v>0.97</v>
      </c>
      <c r="R92" s="19">
        <f t="shared" ref="R92:R108" si="663">0.5*(E92+F92)</f>
        <v>0.96</v>
      </c>
      <c r="S92" s="19">
        <f t="shared" ref="S92:S108" si="664">0.5*(F92+G92)</f>
        <v>0.95</v>
      </c>
      <c r="T92" s="19">
        <f t="shared" ref="T92:T106" si="665">0.5*(G92+L92)</f>
        <v>0.97499999999999998</v>
      </c>
      <c r="V92" s="26">
        <v>10</v>
      </c>
      <c r="W92" s="18" t="s">
        <v>37</v>
      </c>
      <c r="X92" s="19" t="s">
        <v>39</v>
      </c>
      <c r="Y92" s="19" t="s">
        <v>64</v>
      </c>
      <c r="Z92" s="19" t="s">
        <v>64</v>
      </c>
      <c r="AA92" s="19" t="s">
        <v>40</v>
      </c>
      <c r="AB92" s="19" t="s">
        <v>39</v>
      </c>
      <c r="AC92" s="19" t="s">
        <v>36</v>
      </c>
      <c r="AD92" s="19" t="s">
        <v>36</v>
      </c>
      <c r="AE92" s="19" t="s">
        <v>39</v>
      </c>
      <c r="AF92" s="19" t="str">
        <f t="shared" ref="AF92:AF108" si="666">AB92</f>
        <v>0,97</v>
      </c>
      <c r="AG92" s="19">
        <f t="shared" ref="AG92:AG108" si="667">0.5*(AB92+AC92)</f>
        <v>0.98499999999999999</v>
      </c>
      <c r="AH92" s="19">
        <f t="shared" ref="AH92:AH108" si="668">0.5*(AC92+AD92)</f>
        <v>1</v>
      </c>
      <c r="AI92" s="19">
        <f t="shared" ref="AI92:AI108" si="669">0.5*(AD92+AE92)</f>
        <v>0.98499999999999999</v>
      </c>
      <c r="AJ92" s="19">
        <f t="shared" ref="AJ92:AJ108" si="670">0.5*(AE92+X92)</f>
        <v>0.97</v>
      </c>
      <c r="AK92" s="19">
        <f t="shared" ref="AK92:AK108" si="671">0.5*(X92+Y92)</f>
        <v>0.98</v>
      </c>
      <c r="AL92" s="19">
        <f t="shared" ref="AL92:AL108" si="672">0.5*(Y92+Z92)</f>
        <v>0.99</v>
      </c>
      <c r="AM92" s="19">
        <f t="shared" ref="AM92:AM108" si="673">0.5*(Z92+AA92)</f>
        <v>0.97499999999999998</v>
      </c>
      <c r="AN92" s="19">
        <f t="shared" ref="AN92:AN108" si="674">0.5*(AA92+AF92)</f>
        <v>0.96499999999999997</v>
      </c>
    </row>
    <row r="93" spans="2:40">
      <c r="B93" s="27">
        <f>0.5*(B92+B94)</f>
        <v>15</v>
      </c>
      <c r="C93" s="12"/>
      <c r="D93" s="12">
        <f t="shared" ref="D93" si="675">0.5*(D92+D94)</f>
        <v>0.96</v>
      </c>
      <c r="E93" s="12">
        <f t="shared" ref="E93" si="676">0.5*(E92+E94)</f>
        <v>0.95</v>
      </c>
      <c r="F93" s="12">
        <f t="shared" ref="F93" si="677">0.5*(F92+F94)</f>
        <v>0.92500000000000004</v>
      </c>
      <c r="G93" s="12">
        <f t="shared" ref="G93" si="678">0.5*(G92+G94)</f>
        <v>0.93500000000000005</v>
      </c>
      <c r="H93" s="12">
        <f t="shared" ref="H93" si="679">0.5*(H92+H94)</f>
        <v>1</v>
      </c>
      <c r="I93" s="12">
        <f t="shared" ref="I93" si="680">0.5*(I92+I94)</f>
        <v>1</v>
      </c>
      <c r="J93" s="12">
        <f t="shared" ref="J93" si="681">0.5*(J92+J94)</f>
        <v>1</v>
      </c>
      <c r="K93" s="12">
        <f t="shared" ref="K93" si="682">0.5*(K92+K94)</f>
        <v>0.99</v>
      </c>
      <c r="L93" s="12">
        <f t="shared" ref="L93" si="683">0.5*(L92+L94)</f>
        <v>1</v>
      </c>
      <c r="M93" s="12">
        <f t="shared" ref="M93" si="684">0.5*(M92+M94)</f>
        <v>1</v>
      </c>
      <c r="N93" s="12">
        <f t="shared" ref="N93" si="685">0.5*(N92+N94)</f>
        <v>1</v>
      </c>
      <c r="O93" s="12">
        <f t="shared" ref="O93" si="686">0.5*(O92+O94)</f>
        <v>0.995</v>
      </c>
      <c r="P93" s="12">
        <f t="shared" ref="P93" si="687">0.5*(P92+P94)</f>
        <v>0.97499999999999998</v>
      </c>
      <c r="Q93" s="12">
        <f t="shared" ref="Q93" si="688">0.5*(Q92+Q94)</f>
        <v>0.95499999999999996</v>
      </c>
      <c r="R93" s="12">
        <f t="shared" ref="R93" si="689">0.5*(R92+R94)</f>
        <v>0.9375</v>
      </c>
      <c r="S93" s="12">
        <f t="shared" ref="S93" si="690">0.5*(S92+S94)</f>
        <v>0.92999999999999994</v>
      </c>
      <c r="T93" s="13">
        <f t="shared" ref="T93" si="691">0.5*(T92+T94)</f>
        <v>0.96750000000000003</v>
      </c>
      <c r="U93" s="28"/>
      <c r="V93" s="29">
        <f t="shared" ref="V93" si="692">0.5*(V92+V94)</f>
        <v>15</v>
      </c>
      <c r="W93" s="12"/>
      <c r="X93" s="12">
        <f t="shared" ref="X93" si="693">0.5*(X92+X94)</f>
        <v>0.96</v>
      </c>
      <c r="Y93" s="12">
        <f t="shared" ref="Y93" si="694">0.5*(Y92+Y94)</f>
        <v>0.99</v>
      </c>
      <c r="Z93" s="12">
        <f t="shared" ref="Z93" si="695">0.5*(Z92+Z94)</f>
        <v>0.98499999999999999</v>
      </c>
      <c r="AA93" s="12">
        <f t="shared" ref="AA93" si="696">0.5*(AA92+AA94)</f>
        <v>0.94500000000000006</v>
      </c>
      <c r="AB93" s="12">
        <f t="shared" ref="AB93" si="697">0.5*(AB92+AB94)</f>
        <v>0.96</v>
      </c>
      <c r="AC93" s="12">
        <f t="shared" ref="AC93" si="698">0.5*(AC92+AC94)</f>
        <v>1</v>
      </c>
      <c r="AD93" s="12">
        <f t="shared" ref="AD93" si="699">0.5*(AD92+AD94)</f>
        <v>0.995</v>
      </c>
      <c r="AE93" s="12">
        <f t="shared" ref="AE93" si="700">0.5*(AE92+AE94)</f>
        <v>0.95499999999999996</v>
      </c>
      <c r="AF93" s="12">
        <f t="shared" ref="AF93" si="701">0.5*(AF92+AF94)</f>
        <v>0.96</v>
      </c>
      <c r="AG93" s="12">
        <f t="shared" ref="AG93" si="702">0.5*(AG92+AG94)</f>
        <v>0.98</v>
      </c>
      <c r="AH93" s="12">
        <f t="shared" ref="AH93" si="703">0.5*(AH92+AH94)</f>
        <v>0.99750000000000005</v>
      </c>
      <c r="AI93" s="12">
        <f t="shared" ref="AI93" si="704">0.5*(AI92+AI94)</f>
        <v>0.97499999999999998</v>
      </c>
      <c r="AJ93" s="12">
        <f t="shared" ref="AJ93" si="705">0.5*(AJ92+AJ94)</f>
        <v>0.95750000000000002</v>
      </c>
      <c r="AK93" s="12">
        <f t="shared" ref="AK93" si="706">0.5*(AK92+AK94)</f>
        <v>0.97499999999999998</v>
      </c>
      <c r="AL93" s="12">
        <f t="shared" ref="AL93" si="707">0.5*(AL92+AL94)</f>
        <v>0.98750000000000004</v>
      </c>
      <c r="AM93" s="12">
        <f t="shared" ref="AM93" si="708">0.5*(AM92+AM94)</f>
        <v>0.96500000000000008</v>
      </c>
      <c r="AN93" s="12">
        <f t="shared" ref="AN93" si="709">0.5*(AN92+AN94)</f>
        <v>0.9524999999999999</v>
      </c>
    </row>
    <row r="94" spans="2:40">
      <c r="B94" s="25">
        <v>20</v>
      </c>
      <c r="C94" s="18" t="s">
        <v>35</v>
      </c>
      <c r="D94" s="19" t="s">
        <v>41</v>
      </c>
      <c r="E94" s="19" t="s">
        <v>42</v>
      </c>
      <c r="F94" s="19" t="s">
        <v>48</v>
      </c>
      <c r="G94" s="19" t="s">
        <v>44</v>
      </c>
      <c r="H94" s="19" t="s">
        <v>36</v>
      </c>
      <c r="I94" s="19" t="s">
        <v>36</v>
      </c>
      <c r="J94" s="19" t="s">
        <v>36</v>
      </c>
      <c r="K94" s="19" t="s">
        <v>64</v>
      </c>
      <c r="L94" s="19" t="str">
        <f t="shared" si="657"/>
        <v>1,00</v>
      </c>
      <c r="M94" s="19">
        <f t="shared" si="658"/>
        <v>1</v>
      </c>
      <c r="N94" s="19">
        <f t="shared" si="659"/>
        <v>1</v>
      </c>
      <c r="O94" s="19">
        <f t="shared" si="660"/>
        <v>0.995</v>
      </c>
      <c r="P94" s="19">
        <f t="shared" si="661"/>
        <v>0.97</v>
      </c>
      <c r="Q94" s="19">
        <f t="shared" si="662"/>
        <v>0.94</v>
      </c>
      <c r="R94" s="19">
        <f t="shared" si="663"/>
        <v>0.91500000000000004</v>
      </c>
      <c r="S94" s="19">
        <f t="shared" si="664"/>
        <v>0.91</v>
      </c>
      <c r="T94" s="19">
        <f t="shared" si="665"/>
        <v>0.96</v>
      </c>
      <c r="V94" s="26">
        <v>20</v>
      </c>
      <c r="W94" s="18" t="s">
        <v>37</v>
      </c>
      <c r="X94" s="19" t="s">
        <v>41</v>
      </c>
      <c r="Y94" s="19" t="s">
        <v>64</v>
      </c>
      <c r="Z94" s="19" t="s">
        <v>38</v>
      </c>
      <c r="AA94" s="19" t="s">
        <v>42</v>
      </c>
      <c r="AB94" s="19" t="s">
        <v>41</v>
      </c>
      <c r="AC94" s="19" t="s">
        <v>36</v>
      </c>
      <c r="AD94" s="19" t="s">
        <v>64</v>
      </c>
      <c r="AE94" s="19" t="s">
        <v>43</v>
      </c>
      <c r="AF94" s="19" t="str">
        <f t="shared" si="666"/>
        <v>0,95</v>
      </c>
      <c r="AG94" s="19">
        <f t="shared" si="667"/>
        <v>0.97499999999999998</v>
      </c>
      <c r="AH94" s="19">
        <f t="shared" si="668"/>
        <v>0.995</v>
      </c>
      <c r="AI94" s="19">
        <f t="shared" si="669"/>
        <v>0.96499999999999997</v>
      </c>
      <c r="AJ94" s="19">
        <f t="shared" si="670"/>
        <v>0.94499999999999995</v>
      </c>
      <c r="AK94" s="19">
        <f t="shared" si="671"/>
        <v>0.97</v>
      </c>
      <c r="AL94" s="19">
        <f t="shared" si="672"/>
        <v>0.98499999999999999</v>
      </c>
      <c r="AM94" s="19">
        <f t="shared" si="673"/>
        <v>0.95500000000000007</v>
      </c>
      <c r="AN94" s="19">
        <f t="shared" si="674"/>
        <v>0.94</v>
      </c>
    </row>
    <row r="95" spans="2:40">
      <c r="B95" s="27">
        <f>0.5*(B94+B96)</f>
        <v>25</v>
      </c>
      <c r="C95" s="12"/>
      <c r="D95" s="12">
        <f t="shared" ref="D95" si="710">0.5*(D94+D96)</f>
        <v>0.93500000000000005</v>
      </c>
      <c r="E95" s="12">
        <f t="shared" ref="E95" si="711">0.5*(E94+E96)</f>
        <v>0.91500000000000004</v>
      </c>
      <c r="F95" s="12">
        <f t="shared" ref="F95" si="712">0.5*(F94+F96)</f>
        <v>0.88</v>
      </c>
      <c r="G95" s="12">
        <f t="shared" ref="G95" si="713">0.5*(G94+G96)</f>
        <v>0.90500000000000003</v>
      </c>
      <c r="H95" s="12">
        <f t="shared" ref="H95" si="714">0.5*(H94+H96)</f>
        <v>1</v>
      </c>
      <c r="I95" s="12">
        <f t="shared" ref="I95" si="715">0.5*(I94+I96)</f>
        <v>1</v>
      </c>
      <c r="J95" s="12">
        <f t="shared" ref="J95" si="716">0.5*(J94+J96)</f>
        <v>1</v>
      </c>
      <c r="K95" s="12">
        <f t="shared" ref="K95" si="717">0.5*(K94+K96)</f>
        <v>0.98499999999999999</v>
      </c>
      <c r="L95" s="12">
        <f t="shared" ref="L95" si="718">0.5*(L94+L96)</f>
        <v>1</v>
      </c>
      <c r="M95" s="12">
        <f t="shared" ref="M95" si="719">0.5*(M94+M96)</f>
        <v>1</v>
      </c>
      <c r="N95" s="12">
        <f t="shared" ref="N95" si="720">0.5*(N94+N96)</f>
        <v>1</v>
      </c>
      <c r="O95" s="12">
        <f t="shared" ref="O95" si="721">0.5*(O94+O96)</f>
        <v>0.99249999999999994</v>
      </c>
      <c r="P95" s="12">
        <f t="shared" ref="P95" si="722">0.5*(P94+P96)</f>
        <v>0.96</v>
      </c>
      <c r="Q95" s="12">
        <f t="shared" ref="Q95" si="723">0.5*(Q94+Q96)</f>
        <v>0.92500000000000004</v>
      </c>
      <c r="R95" s="12">
        <f t="shared" ref="R95" si="724">0.5*(R94+R96)</f>
        <v>0.89749999999999996</v>
      </c>
      <c r="S95" s="12">
        <f t="shared" ref="S95" si="725">0.5*(S94+S96)</f>
        <v>0.89250000000000007</v>
      </c>
      <c r="T95" s="13">
        <f t="shared" ref="T95" si="726">0.5*(T94+T96)</f>
        <v>0.95250000000000001</v>
      </c>
      <c r="U95" s="28"/>
      <c r="V95" s="29">
        <f t="shared" ref="V95" si="727">0.5*(V94+V96)</f>
        <v>25</v>
      </c>
      <c r="W95" s="12"/>
      <c r="X95" s="12">
        <f t="shared" ref="X95" si="728">0.5*(X94+X96)</f>
        <v>0.94</v>
      </c>
      <c r="Y95" s="12">
        <f t="shared" ref="Y95" si="729">0.5*(Y94+Y96)</f>
        <v>0.98499999999999999</v>
      </c>
      <c r="Z95" s="12">
        <f t="shared" ref="Z95" si="730">0.5*(Z94+Z96)</f>
        <v>0.97</v>
      </c>
      <c r="AA95" s="12">
        <f t="shared" ref="AA95" si="731">0.5*(AA94+AA96)</f>
        <v>0.91</v>
      </c>
      <c r="AB95" s="12">
        <f t="shared" ref="AB95" si="732">0.5*(AB94+AB96)</f>
        <v>0.94</v>
      </c>
      <c r="AC95" s="12">
        <f t="shared" ref="AC95" si="733">0.5*(AC94+AC96)</f>
        <v>1</v>
      </c>
      <c r="AD95" s="12">
        <f t="shared" ref="AD95" si="734">0.5*(AD94+AD96)</f>
        <v>0.99</v>
      </c>
      <c r="AE95" s="12">
        <f t="shared" ref="AE95" si="735">0.5*(AE94+AE96)</f>
        <v>0.91999999999999993</v>
      </c>
      <c r="AF95" s="12">
        <f t="shared" ref="AF95" si="736">0.5*(AF94+AF96)</f>
        <v>0.94</v>
      </c>
      <c r="AG95" s="12">
        <f t="shared" ref="AG95" si="737">0.5*(AG94+AG96)</f>
        <v>0.97</v>
      </c>
      <c r="AH95" s="12">
        <f t="shared" ref="AH95" si="738">0.5*(AH94+AH96)</f>
        <v>0.995</v>
      </c>
      <c r="AI95" s="12">
        <f t="shared" ref="AI95" si="739">0.5*(AI94+AI96)</f>
        <v>0.95500000000000007</v>
      </c>
      <c r="AJ95" s="12">
        <f t="shared" ref="AJ95" si="740">0.5*(AJ94+AJ96)</f>
        <v>0.92999999999999994</v>
      </c>
      <c r="AK95" s="12">
        <f t="shared" ref="AK95" si="741">0.5*(AK94+AK96)</f>
        <v>0.96250000000000002</v>
      </c>
      <c r="AL95" s="12">
        <f t="shared" ref="AL95" si="742">0.5*(AL94+AL96)</f>
        <v>0.97750000000000004</v>
      </c>
      <c r="AM95" s="12">
        <f t="shared" ref="AM95" si="743">0.5*(AM94+AM96)</f>
        <v>0.94000000000000006</v>
      </c>
      <c r="AN95" s="12">
        <f t="shared" ref="AN95" si="744">0.5*(AN94+AN96)</f>
        <v>0.92500000000000004</v>
      </c>
    </row>
    <row r="96" spans="2:40">
      <c r="B96" s="25">
        <v>30</v>
      </c>
      <c r="C96" s="18" t="s">
        <v>35</v>
      </c>
      <c r="D96" s="19" t="s">
        <v>44</v>
      </c>
      <c r="E96" s="19" t="s">
        <v>48</v>
      </c>
      <c r="F96" s="19" t="s">
        <v>47</v>
      </c>
      <c r="G96" s="19" t="s">
        <v>46</v>
      </c>
      <c r="H96" s="19" t="s">
        <v>36</v>
      </c>
      <c r="I96" s="19" t="s">
        <v>36</v>
      </c>
      <c r="J96" s="19" t="s">
        <v>36</v>
      </c>
      <c r="K96" s="19" t="s">
        <v>38</v>
      </c>
      <c r="L96" s="19" t="str">
        <f t="shared" si="657"/>
        <v>1,00</v>
      </c>
      <c r="M96" s="19">
        <f t="shared" si="658"/>
        <v>1</v>
      </c>
      <c r="N96" s="19">
        <f t="shared" si="659"/>
        <v>1</v>
      </c>
      <c r="O96" s="19">
        <f t="shared" si="660"/>
        <v>0.99</v>
      </c>
      <c r="P96" s="19">
        <f t="shared" si="661"/>
        <v>0.95</v>
      </c>
      <c r="Q96" s="19">
        <f t="shared" si="662"/>
        <v>0.91</v>
      </c>
      <c r="R96" s="19">
        <f t="shared" si="663"/>
        <v>0.88</v>
      </c>
      <c r="S96" s="19">
        <f t="shared" si="664"/>
        <v>0.875</v>
      </c>
      <c r="T96" s="19">
        <f t="shared" si="665"/>
        <v>0.94500000000000006</v>
      </c>
      <c r="V96" s="26">
        <v>30</v>
      </c>
      <c r="W96" s="18" t="s">
        <v>37</v>
      </c>
      <c r="X96" s="19" t="s">
        <v>42</v>
      </c>
      <c r="Y96" s="19" t="s">
        <v>38</v>
      </c>
      <c r="Z96" s="19" t="s">
        <v>40</v>
      </c>
      <c r="AA96" s="19" t="s">
        <v>46</v>
      </c>
      <c r="AB96" s="19" t="s">
        <v>42</v>
      </c>
      <c r="AC96" s="19" t="s">
        <v>36</v>
      </c>
      <c r="AD96" s="19" t="s">
        <v>64</v>
      </c>
      <c r="AE96" s="19" t="s">
        <v>48</v>
      </c>
      <c r="AF96" s="19" t="str">
        <f t="shared" si="666"/>
        <v>0,93</v>
      </c>
      <c r="AG96" s="19">
        <f t="shared" si="667"/>
        <v>0.96500000000000008</v>
      </c>
      <c r="AH96" s="19">
        <f t="shared" si="668"/>
        <v>0.995</v>
      </c>
      <c r="AI96" s="19">
        <f t="shared" si="669"/>
        <v>0.94500000000000006</v>
      </c>
      <c r="AJ96" s="19">
        <f t="shared" si="670"/>
        <v>0.91500000000000004</v>
      </c>
      <c r="AK96" s="19">
        <f t="shared" si="671"/>
        <v>0.95500000000000007</v>
      </c>
      <c r="AL96" s="19">
        <f t="shared" si="672"/>
        <v>0.97</v>
      </c>
      <c r="AM96" s="19">
        <f t="shared" si="673"/>
        <v>0.92500000000000004</v>
      </c>
      <c r="AN96" s="19">
        <f t="shared" si="674"/>
        <v>0.91</v>
      </c>
    </row>
    <row r="97" spans="2:40">
      <c r="B97" s="27">
        <f>0.5*(B96+B98)</f>
        <v>35</v>
      </c>
      <c r="C97" s="12"/>
      <c r="D97" s="12">
        <f t="shared" ref="D97" si="745">0.5*(D96+D98)</f>
        <v>0.90500000000000003</v>
      </c>
      <c r="E97" s="12">
        <f t="shared" ref="E97" si="746">0.5*(E96+E98)</f>
        <v>0.88500000000000001</v>
      </c>
      <c r="F97" s="12">
        <f t="shared" ref="F97" si="747">0.5*(F96+F98)</f>
        <v>0.83000000000000007</v>
      </c>
      <c r="G97" s="12">
        <f t="shared" ref="G97" si="748">0.5*(G96+G98)</f>
        <v>0.875</v>
      </c>
      <c r="H97" s="12">
        <f t="shared" ref="H97" si="749">0.5*(H96+H98)</f>
        <v>1</v>
      </c>
      <c r="I97" s="12">
        <f t="shared" ref="I97" si="750">0.5*(I96+I98)</f>
        <v>1</v>
      </c>
      <c r="J97" s="12">
        <f t="shared" ref="J97" si="751">0.5*(J96+J98)</f>
        <v>1</v>
      </c>
      <c r="K97" s="12">
        <f t="shared" ref="K97" si="752">0.5*(K96+K98)</f>
        <v>0.97499999999999998</v>
      </c>
      <c r="L97" s="12">
        <f t="shared" ref="L97" si="753">0.5*(L96+L98)</f>
        <v>1</v>
      </c>
      <c r="M97" s="12">
        <f t="shared" ref="M97" si="754">0.5*(M96+M98)</f>
        <v>1</v>
      </c>
      <c r="N97" s="12">
        <f t="shared" ref="N97" si="755">0.5*(N96+N98)</f>
        <v>1</v>
      </c>
      <c r="O97" s="12">
        <f t="shared" ref="O97" si="756">0.5*(O96+O98)</f>
        <v>0.98750000000000004</v>
      </c>
      <c r="P97" s="12">
        <f t="shared" ref="P97" si="757">0.5*(P96+P98)</f>
        <v>0.94</v>
      </c>
      <c r="Q97" s="12">
        <f t="shared" ref="Q97" si="758">0.5*(Q96+Q98)</f>
        <v>0.89500000000000002</v>
      </c>
      <c r="R97" s="12">
        <f t="shared" ref="R97" si="759">0.5*(R96+R98)</f>
        <v>0.85749999999999993</v>
      </c>
      <c r="S97" s="12">
        <f t="shared" ref="S97" si="760">0.5*(S96+S98)</f>
        <v>0.85250000000000004</v>
      </c>
      <c r="T97" s="13">
        <f t="shared" ref="T97" si="761">0.5*(T96+T98)</f>
        <v>0.9375</v>
      </c>
      <c r="U97" s="28"/>
      <c r="V97" s="29">
        <f t="shared" ref="V97" si="762">0.5*(V96+V98)</f>
        <v>35</v>
      </c>
      <c r="W97" s="12"/>
      <c r="X97" s="12">
        <f t="shared" ref="X97" si="763">0.5*(X96+X98)</f>
        <v>0.92</v>
      </c>
      <c r="Y97" s="12">
        <f t="shared" ref="Y97" si="764">0.5*(Y96+Y98)</f>
        <v>0.97499999999999998</v>
      </c>
      <c r="Z97" s="12">
        <f t="shared" ref="Z97" si="765">0.5*(Z96+Z98)</f>
        <v>0.95499999999999996</v>
      </c>
      <c r="AA97" s="12">
        <f t="shared" ref="AA97" si="766">0.5*(AA96+AA98)</f>
        <v>0.86499999999999999</v>
      </c>
      <c r="AB97" s="12">
        <f t="shared" ref="AB97" si="767">0.5*(AB96+AB98)</f>
        <v>0.92500000000000004</v>
      </c>
      <c r="AC97" s="12">
        <f t="shared" ref="AC97" si="768">0.5*(AC96+AC98)</f>
        <v>1</v>
      </c>
      <c r="AD97" s="12">
        <f t="shared" ref="AD97" si="769">0.5*(AD96+AD98)</f>
        <v>0.98499999999999999</v>
      </c>
      <c r="AE97" s="12">
        <f t="shared" ref="AE97" si="770">0.5*(AE96+AE98)</f>
        <v>0.88</v>
      </c>
      <c r="AF97" s="12">
        <f t="shared" ref="AF97" si="771">0.5*(AF96+AF98)</f>
        <v>0.92500000000000004</v>
      </c>
      <c r="AG97" s="12">
        <f t="shared" ref="AG97" si="772">0.5*(AG96+AG98)</f>
        <v>0.96250000000000002</v>
      </c>
      <c r="AH97" s="12">
        <f t="shared" ref="AH97" si="773">0.5*(AH96+AH98)</f>
        <v>0.99249999999999994</v>
      </c>
      <c r="AI97" s="12">
        <f t="shared" ref="AI97" si="774">0.5*(AI96+AI98)</f>
        <v>0.9325</v>
      </c>
      <c r="AJ97" s="12">
        <f t="shared" ref="AJ97" si="775">0.5*(AJ96+AJ98)</f>
        <v>0.9</v>
      </c>
      <c r="AK97" s="12">
        <f t="shared" ref="AK97" si="776">0.5*(AK96+AK98)</f>
        <v>0.94750000000000001</v>
      </c>
      <c r="AL97" s="12">
        <f t="shared" ref="AL97" si="777">0.5*(AL96+AL98)</f>
        <v>0.96499999999999997</v>
      </c>
      <c r="AM97" s="12">
        <f t="shared" ref="AM97" si="778">0.5*(AM96+AM98)</f>
        <v>0.91</v>
      </c>
      <c r="AN97" s="12">
        <f t="shared" ref="AN97" si="779">0.5*(AN96+AN98)</f>
        <v>0.89500000000000002</v>
      </c>
    </row>
    <row r="98" spans="2:40">
      <c r="B98" s="25">
        <v>40</v>
      </c>
      <c r="C98" s="18" t="s">
        <v>35</v>
      </c>
      <c r="D98" s="19" t="s">
        <v>46</v>
      </c>
      <c r="E98" s="19" t="s">
        <v>52</v>
      </c>
      <c r="F98" s="19" t="s">
        <v>51</v>
      </c>
      <c r="G98" s="19" t="s">
        <v>47</v>
      </c>
      <c r="H98" s="19" t="s">
        <v>36</v>
      </c>
      <c r="I98" s="19" t="s">
        <v>36</v>
      </c>
      <c r="J98" s="19" t="s">
        <v>36</v>
      </c>
      <c r="K98" s="19" t="s">
        <v>39</v>
      </c>
      <c r="L98" s="19" t="str">
        <f t="shared" si="657"/>
        <v>1,00</v>
      </c>
      <c r="M98" s="19">
        <f t="shared" si="658"/>
        <v>1</v>
      </c>
      <c r="N98" s="19">
        <f t="shared" si="659"/>
        <v>1</v>
      </c>
      <c r="O98" s="19">
        <f t="shared" si="660"/>
        <v>0.98499999999999999</v>
      </c>
      <c r="P98" s="19">
        <f t="shared" si="661"/>
        <v>0.92999999999999994</v>
      </c>
      <c r="Q98" s="19">
        <f t="shared" si="662"/>
        <v>0.88</v>
      </c>
      <c r="R98" s="19">
        <f t="shared" si="663"/>
        <v>0.83499999999999996</v>
      </c>
      <c r="S98" s="19">
        <f t="shared" si="664"/>
        <v>0.83000000000000007</v>
      </c>
      <c r="T98" s="19">
        <f t="shared" si="665"/>
        <v>0.92999999999999994</v>
      </c>
      <c r="V98" s="26">
        <v>40</v>
      </c>
      <c r="W98" s="18" t="s">
        <v>37</v>
      </c>
      <c r="X98" s="19" t="s">
        <v>45</v>
      </c>
      <c r="Y98" s="19" t="s">
        <v>39</v>
      </c>
      <c r="Z98" s="19" t="s">
        <v>41</v>
      </c>
      <c r="AA98" s="19" t="s">
        <v>50</v>
      </c>
      <c r="AB98" s="19" t="s">
        <v>44</v>
      </c>
      <c r="AC98" s="19" t="s">
        <v>36</v>
      </c>
      <c r="AD98" s="19" t="s">
        <v>38</v>
      </c>
      <c r="AE98" s="19" t="s">
        <v>47</v>
      </c>
      <c r="AF98" s="19" t="str">
        <f t="shared" si="666"/>
        <v>0,92</v>
      </c>
      <c r="AG98" s="19">
        <f t="shared" si="667"/>
        <v>0.96</v>
      </c>
      <c r="AH98" s="19">
        <f t="shared" si="668"/>
        <v>0.99</v>
      </c>
      <c r="AI98" s="19">
        <f t="shared" si="669"/>
        <v>0.91999999999999993</v>
      </c>
      <c r="AJ98" s="19">
        <f t="shared" si="670"/>
        <v>0.88500000000000001</v>
      </c>
      <c r="AK98" s="19">
        <f t="shared" si="671"/>
        <v>0.94</v>
      </c>
      <c r="AL98" s="19">
        <f t="shared" si="672"/>
        <v>0.96</v>
      </c>
      <c r="AM98" s="19">
        <f t="shared" si="673"/>
        <v>0.89500000000000002</v>
      </c>
      <c r="AN98" s="19">
        <f t="shared" si="674"/>
        <v>0.88</v>
      </c>
    </row>
    <row r="99" spans="2:40">
      <c r="B99" s="27">
        <f>0.5*(B98+B100)</f>
        <v>45</v>
      </c>
      <c r="C99" s="12"/>
      <c r="D99" s="12">
        <f t="shared" ref="D99" si="780">0.5*(D98+D100)</f>
        <v>0.87</v>
      </c>
      <c r="E99" s="12">
        <f t="shared" ref="E99" si="781">0.5*(E98+E100)</f>
        <v>0.85</v>
      </c>
      <c r="F99" s="12">
        <f t="shared" ref="F99" si="782">0.5*(F98+F100)</f>
        <v>0.77500000000000002</v>
      </c>
      <c r="G99" s="12">
        <f t="shared" ref="G99" si="783">0.5*(G98+G100)</f>
        <v>0.85</v>
      </c>
      <c r="H99" s="12">
        <f t="shared" ref="H99" si="784">0.5*(H98+H100)</f>
        <v>1</v>
      </c>
      <c r="I99" s="12">
        <f t="shared" ref="I99" si="785">0.5*(I98+I100)</f>
        <v>1</v>
      </c>
      <c r="J99" s="12">
        <f t="shared" ref="J99" si="786">0.5*(J98+J100)</f>
        <v>1</v>
      </c>
      <c r="K99" s="12">
        <f t="shared" ref="K99" si="787">0.5*(K98+K100)</f>
        <v>0.96</v>
      </c>
      <c r="L99" s="12">
        <f t="shared" ref="L99" si="788">0.5*(L98+L100)</f>
        <v>1</v>
      </c>
      <c r="M99" s="12">
        <f t="shared" ref="M99" si="789">0.5*(M98+M100)</f>
        <v>1</v>
      </c>
      <c r="N99" s="12">
        <f t="shared" ref="N99" si="790">0.5*(N98+N100)</f>
        <v>1</v>
      </c>
      <c r="O99" s="12">
        <f t="shared" ref="O99" si="791">0.5*(O98+O100)</f>
        <v>0.98</v>
      </c>
      <c r="P99" s="12">
        <f t="shared" ref="P99" si="792">0.5*(P98+P100)</f>
        <v>0.91499999999999992</v>
      </c>
      <c r="Q99" s="12">
        <f t="shared" ref="Q99" si="793">0.5*(Q98+Q100)</f>
        <v>0.86</v>
      </c>
      <c r="R99" s="12">
        <f t="shared" ref="R99" si="794">0.5*(R98+R100)</f>
        <v>0.8125</v>
      </c>
      <c r="S99" s="12">
        <f t="shared" ref="S99" si="795">0.5*(S98+S100)</f>
        <v>0.8125</v>
      </c>
      <c r="T99" s="13">
        <f t="shared" ref="T99" si="796">0.5*(T98+T100)</f>
        <v>0.92499999999999993</v>
      </c>
      <c r="U99" s="28"/>
      <c r="V99" s="29">
        <f t="shared" ref="V99" si="797">0.5*(V98+V100)</f>
        <v>45</v>
      </c>
      <c r="W99" s="12"/>
      <c r="X99" s="12">
        <f t="shared" ref="X99" si="798">0.5*(X98+X100)</f>
        <v>0.9</v>
      </c>
      <c r="Y99" s="12">
        <f t="shared" ref="Y99" si="799">0.5*(Y98+Y100)</f>
        <v>0.96499999999999997</v>
      </c>
      <c r="Z99" s="12">
        <f t="shared" ref="Z99" si="800">0.5*(Z98+Z100)</f>
        <v>0.94</v>
      </c>
      <c r="AA99" s="12">
        <f t="shared" ref="AA99" si="801">0.5*(AA98+AA100)</f>
        <v>0.81499999999999995</v>
      </c>
      <c r="AB99" s="12">
        <f t="shared" ref="AB99" si="802">0.5*(AB98+AB100)</f>
        <v>0.92</v>
      </c>
      <c r="AC99" s="12">
        <f t="shared" ref="AC99" si="803">0.5*(AC98+AC100)</f>
        <v>1</v>
      </c>
      <c r="AD99" s="12">
        <f t="shared" ref="AD99" si="804">0.5*(AD98+AD100)</f>
        <v>0.97499999999999998</v>
      </c>
      <c r="AE99" s="12">
        <f t="shared" ref="AE99" si="805">0.5*(AE98+AE100)</f>
        <v>0.83499999999999996</v>
      </c>
      <c r="AF99" s="12">
        <f t="shared" ref="AF99" si="806">0.5*(AF98+AF100)</f>
        <v>0.92</v>
      </c>
      <c r="AG99" s="12">
        <f t="shared" ref="AG99" si="807">0.5*(AG98+AG100)</f>
        <v>0.96</v>
      </c>
      <c r="AH99" s="12">
        <f t="shared" ref="AH99" si="808">0.5*(AH98+AH100)</f>
        <v>0.98750000000000004</v>
      </c>
      <c r="AI99" s="12">
        <f t="shared" ref="AI99" si="809">0.5*(AI98+AI100)</f>
        <v>0.90500000000000003</v>
      </c>
      <c r="AJ99" s="12">
        <f t="shared" ref="AJ99" si="810">0.5*(AJ98+AJ100)</f>
        <v>0.86750000000000005</v>
      </c>
      <c r="AK99" s="12">
        <f t="shared" ref="AK99" si="811">0.5*(AK98+AK100)</f>
        <v>0.9325</v>
      </c>
      <c r="AL99" s="12">
        <f t="shared" ref="AL99" si="812">0.5*(AL98+AL100)</f>
        <v>0.95250000000000001</v>
      </c>
      <c r="AM99" s="12">
        <f t="shared" ref="AM99" si="813">0.5*(AM98+AM100)</f>
        <v>0.87750000000000006</v>
      </c>
      <c r="AN99" s="12">
        <f t="shared" ref="AN99" si="814">0.5*(AN98+AN100)</f>
        <v>0.86749999999999994</v>
      </c>
    </row>
    <row r="100" spans="2:40">
      <c r="B100" s="25">
        <v>50</v>
      </c>
      <c r="C100" s="18" t="s">
        <v>35</v>
      </c>
      <c r="D100" s="19" t="s">
        <v>60</v>
      </c>
      <c r="E100" s="19" t="s">
        <v>55</v>
      </c>
      <c r="F100" s="19" t="s">
        <v>93</v>
      </c>
      <c r="G100" s="19" t="s">
        <v>50</v>
      </c>
      <c r="H100" s="19" t="s">
        <v>36</v>
      </c>
      <c r="I100" s="19" t="s">
        <v>36</v>
      </c>
      <c r="J100" s="19" t="s">
        <v>36</v>
      </c>
      <c r="K100" s="19" t="s">
        <v>41</v>
      </c>
      <c r="L100" s="19" t="str">
        <f t="shared" si="657"/>
        <v>1,00</v>
      </c>
      <c r="M100" s="19">
        <f t="shared" si="658"/>
        <v>1</v>
      </c>
      <c r="N100" s="19">
        <f t="shared" si="659"/>
        <v>1</v>
      </c>
      <c r="O100" s="19">
        <f t="shared" si="660"/>
        <v>0.97499999999999998</v>
      </c>
      <c r="P100" s="19">
        <f t="shared" si="661"/>
        <v>0.89999999999999991</v>
      </c>
      <c r="Q100" s="19">
        <f t="shared" si="662"/>
        <v>0.84</v>
      </c>
      <c r="R100" s="19">
        <f t="shared" si="663"/>
        <v>0.79</v>
      </c>
      <c r="S100" s="19">
        <f t="shared" si="664"/>
        <v>0.79499999999999993</v>
      </c>
      <c r="T100" s="19">
        <f t="shared" si="665"/>
        <v>0.91999999999999993</v>
      </c>
      <c r="V100" s="26">
        <v>50</v>
      </c>
      <c r="W100" s="18" t="s">
        <v>37</v>
      </c>
      <c r="X100" s="19" t="s">
        <v>46</v>
      </c>
      <c r="Y100" s="19" t="s">
        <v>40</v>
      </c>
      <c r="Z100" s="19" t="s">
        <v>42</v>
      </c>
      <c r="AA100" s="19" t="s">
        <v>86</v>
      </c>
      <c r="AB100" s="19" t="s">
        <v>44</v>
      </c>
      <c r="AC100" s="19" t="s">
        <v>36</v>
      </c>
      <c r="AD100" s="19" t="s">
        <v>39</v>
      </c>
      <c r="AE100" s="19" t="s">
        <v>61</v>
      </c>
      <c r="AF100" s="19" t="str">
        <f t="shared" si="666"/>
        <v>0,92</v>
      </c>
      <c r="AG100" s="19">
        <f t="shared" si="667"/>
        <v>0.96</v>
      </c>
      <c r="AH100" s="19">
        <f t="shared" si="668"/>
        <v>0.98499999999999999</v>
      </c>
      <c r="AI100" s="19">
        <f t="shared" si="669"/>
        <v>0.89</v>
      </c>
      <c r="AJ100" s="19">
        <f t="shared" si="670"/>
        <v>0.85000000000000009</v>
      </c>
      <c r="AK100" s="19">
        <f t="shared" si="671"/>
        <v>0.92500000000000004</v>
      </c>
      <c r="AL100" s="19">
        <f t="shared" si="672"/>
        <v>0.94500000000000006</v>
      </c>
      <c r="AM100" s="19">
        <f t="shared" si="673"/>
        <v>0.8600000000000001</v>
      </c>
      <c r="AN100" s="19">
        <f t="shared" si="674"/>
        <v>0.85499999999999998</v>
      </c>
    </row>
    <row r="101" spans="2:40">
      <c r="B101" s="27">
        <f>0.5*(B100+B102)</f>
        <v>55</v>
      </c>
      <c r="C101" s="12"/>
      <c r="D101" s="12">
        <f t="shared" ref="D101" si="815">0.5*(D100+D102)</f>
        <v>0.83000000000000007</v>
      </c>
      <c r="E101" s="12">
        <f t="shared" ref="E101" si="816">0.5*(E100+E102)</f>
        <v>0.81</v>
      </c>
      <c r="F101" s="12">
        <f t="shared" ref="F101" si="817">0.5*(F100+F102)</f>
        <v>0.72</v>
      </c>
      <c r="G101" s="12">
        <f t="shared" ref="G101" si="818">0.5*(G100+G102)</f>
        <v>0.83</v>
      </c>
      <c r="H101" s="12">
        <f t="shared" ref="H101" si="819">0.5*(H100+H102)</f>
        <v>1</v>
      </c>
      <c r="I101" s="12">
        <f t="shared" ref="I101" si="820">0.5*(I100+I102)</f>
        <v>1</v>
      </c>
      <c r="J101" s="12">
        <f t="shared" ref="J101" si="821">0.5*(J100+J102)</f>
        <v>1</v>
      </c>
      <c r="K101" s="12">
        <f t="shared" ref="K101" si="822">0.5*(K100+K102)</f>
        <v>0.94</v>
      </c>
      <c r="L101" s="12">
        <f t="shared" ref="L101" si="823">0.5*(L100+L102)</f>
        <v>1</v>
      </c>
      <c r="M101" s="12">
        <f t="shared" ref="M101" si="824">0.5*(M100+M102)</f>
        <v>1</v>
      </c>
      <c r="N101" s="12">
        <f t="shared" ref="N101" si="825">0.5*(N100+N102)</f>
        <v>1</v>
      </c>
      <c r="O101" s="12">
        <f t="shared" ref="O101" si="826">0.5*(O100+O102)</f>
        <v>0.97</v>
      </c>
      <c r="P101" s="12">
        <f t="shared" ref="P101" si="827">0.5*(P100+P102)</f>
        <v>0.88500000000000001</v>
      </c>
      <c r="Q101" s="12">
        <f t="shared" ref="Q101" si="828">0.5*(Q100+Q102)</f>
        <v>0.82000000000000006</v>
      </c>
      <c r="R101" s="12">
        <f t="shared" ref="R101" si="829">0.5*(R100+R102)</f>
        <v>0.76500000000000001</v>
      </c>
      <c r="S101" s="12">
        <f t="shared" ref="S101" si="830">0.5*(S100+S102)</f>
        <v>0.77499999999999991</v>
      </c>
      <c r="T101" s="13">
        <f t="shared" ref="T101" si="831">0.5*(T100+T102)</f>
        <v>0.91499999999999992</v>
      </c>
      <c r="U101" s="28"/>
      <c r="V101" s="29">
        <f t="shared" ref="V101" si="832">0.5*(V100+V102)</f>
        <v>55</v>
      </c>
      <c r="W101" s="12"/>
      <c r="X101" s="12">
        <f t="shared" ref="X101" si="833">0.5*(X100+X102)</f>
        <v>0.88500000000000001</v>
      </c>
      <c r="Y101" s="12">
        <f t="shared" ref="Y101" si="834">0.5*(Y100+Y102)</f>
        <v>0.96</v>
      </c>
      <c r="Z101" s="12">
        <f t="shared" ref="Z101" si="835">0.5*(Z100+Z102)</f>
        <v>0.92</v>
      </c>
      <c r="AA101" s="12">
        <f t="shared" ref="AA101" si="836">0.5*(AA100+AA102)</f>
        <v>0.76</v>
      </c>
      <c r="AB101" s="12">
        <f t="shared" ref="AB101" si="837">0.5*(AB100+AB102)</f>
        <v>0.92</v>
      </c>
      <c r="AC101" s="12">
        <f t="shared" ref="AC101" si="838">0.5*(AC100+AC102)</f>
        <v>1</v>
      </c>
      <c r="AD101" s="12">
        <f t="shared" ref="AD101" si="839">0.5*(AD100+AD102)</f>
        <v>0.96499999999999997</v>
      </c>
      <c r="AE101" s="12">
        <f t="shared" ref="AE101" si="840">0.5*(AE100+AE102)</f>
        <v>0.78500000000000003</v>
      </c>
      <c r="AF101" s="12">
        <f t="shared" ref="AF101" si="841">0.5*(AF100+AF102)</f>
        <v>0.92</v>
      </c>
      <c r="AG101" s="12">
        <f t="shared" ref="AG101" si="842">0.5*(AG100+AG102)</f>
        <v>0.96</v>
      </c>
      <c r="AH101" s="12">
        <f t="shared" ref="AH101" si="843">0.5*(AH100+AH102)</f>
        <v>0.98249999999999993</v>
      </c>
      <c r="AI101" s="12">
        <f t="shared" ref="AI101" si="844">0.5*(AI100+AI102)</f>
        <v>0.875</v>
      </c>
      <c r="AJ101" s="12">
        <f t="shared" ref="AJ101" si="845">0.5*(AJ100+AJ102)</f>
        <v>0.83500000000000008</v>
      </c>
      <c r="AK101" s="12">
        <f t="shared" ref="AK101" si="846">0.5*(AK100+AK102)</f>
        <v>0.92249999999999999</v>
      </c>
      <c r="AL101" s="12">
        <f t="shared" ref="AL101" si="847">0.5*(AL100+AL102)</f>
        <v>0.94000000000000006</v>
      </c>
      <c r="AM101" s="12">
        <f t="shared" ref="AM101" si="848">0.5*(AM100+AM102)</f>
        <v>0.84000000000000008</v>
      </c>
      <c r="AN101" s="12">
        <f t="shared" ref="AN101" si="849">0.5*(AN100+AN102)</f>
        <v>0.84</v>
      </c>
    </row>
    <row r="102" spans="2:40">
      <c r="B102" s="25">
        <v>60</v>
      </c>
      <c r="C102" s="18" t="s">
        <v>35</v>
      </c>
      <c r="D102" s="19" t="s">
        <v>61</v>
      </c>
      <c r="E102" s="19" t="s">
        <v>86</v>
      </c>
      <c r="F102" s="19" t="s">
        <v>95</v>
      </c>
      <c r="G102" s="19" t="s">
        <v>56</v>
      </c>
      <c r="H102" s="19" t="s">
        <v>36</v>
      </c>
      <c r="I102" s="19" t="s">
        <v>36</v>
      </c>
      <c r="J102" s="19" t="s">
        <v>36</v>
      </c>
      <c r="K102" s="19" t="s">
        <v>42</v>
      </c>
      <c r="L102" s="19" t="str">
        <f t="shared" si="657"/>
        <v>1,00</v>
      </c>
      <c r="M102" s="19">
        <f t="shared" si="658"/>
        <v>1</v>
      </c>
      <c r="N102" s="19">
        <f>0.5*(I102+J102)</f>
        <v>1</v>
      </c>
      <c r="O102" s="19">
        <f t="shared" si="660"/>
        <v>0.96500000000000008</v>
      </c>
      <c r="P102" s="19">
        <f t="shared" si="661"/>
        <v>0.87000000000000011</v>
      </c>
      <c r="Q102" s="19">
        <f t="shared" si="662"/>
        <v>0.8</v>
      </c>
      <c r="R102" s="19">
        <f t="shared" si="663"/>
        <v>0.74</v>
      </c>
      <c r="S102" s="19">
        <f t="shared" si="664"/>
        <v>0.75499999999999989</v>
      </c>
      <c r="T102" s="19">
        <f t="shared" si="665"/>
        <v>0.90999999999999992</v>
      </c>
      <c r="V102" s="26">
        <v>60</v>
      </c>
      <c r="W102" s="18" t="s">
        <v>37</v>
      </c>
      <c r="X102" s="19" t="s">
        <v>49</v>
      </c>
      <c r="Y102" s="19" t="s">
        <v>40</v>
      </c>
      <c r="Z102" s="19" t="s">
        <v>45</v>
      </c>
      <c r="AA102" s="19" t="s">
        <v>53</v>
      </c>
      <c r="AB102" s="19" t="s">
        <v>44</v>
      </c>
      <c r="AC102" s="19" t="s">
        <v>36</v>
      </c>
      <c r="AD102" s="19" t="s">
        <v>40</v>
      </c>
      <c r="AE102" s="19" t="s">
        <v>92</v>
      </c>
      <c r="AF102" s="19" t="str">
        <f t="shared" si="666"/>
        <v>0,92</v>
      </c>
      <c r="AG102" s="19">
        <f t="shared" si="667"/>
        <v>0.96</v>
      </c>
      <c r="AH102" s="19">
        <f t="shared" si="668"/>
        <v>0.98</v>
      </c>
      <c r="AI102" s="19">
        <f t="shared" si="669"/>
        <v>0.86</v>
      </c>
      <c r="AJ102" s="19">
        <f t="shared" si="670"/>
        <v>0.82000000000000006</v>
      </c>
      <c r="AK102" s="19">
        <f t="shared" si="671"/>
        <v>0.91999999999999993</v>
      </c>
      <c r="AL102" s="19">
        <f t="shared" si="672"/>
        <v>0.93500000000000005</v>
      </c>
      <c r="AM102" s="19">
        <f t="shared" si="673"/>
        <v>0.82000000000000006</v>
      </c>
      <c r="AN102" s="19">
        <f t="shared" si="674"/>
        <v>0.82499999999999996</v>
      </c>
    </row>
    <row r="103" spans="2:40">
      <c r="B103" s="27">
        <f>0.5*(B102+B104)</f>
        <v>65</v>
      </c>
      <c r="C103" s="12"/>
      <c r="D103" s="12">
        <f t="shared" ref="D103" si="850">0.5*(D102+D104)</f>
        <v>0.78500000000000003</v>
      </c>
      <c r="E103" s="12">
        <f t="shared" ref="E103" si="851">0.5*(E102+E104)</f>
        <v>0.76</v>
      </c>
      <c r="F103" s="12">
        <f t="shared" ref="F103" si="852">0.5*(F102+F104)</f>
        <v>0.65500000000000003</v>
      </c>
      <c r="G103" s="12">
        <f t="shared" ref="G103" si="853">0.5*(G102+G104)</f>
        <v>0.81499999999999995</v>
      </c>
      <c r="H103" s="12">
        <f t="shared" ref="H103" si="854">0.5*(H102+H104)</f>
        <v>1</v>
      </c>
      <c r="I103" s="12">
        <f t="shared" ref="I103" si="855">0.5*(I102+I104)</f>
        <v>1</v>
      </c>
      <c r="J103" s="12">
        <f t="shared" ref="J103" si="856">0.5*(J102+J104)</f>
        <v>1</v>
      </c>
      <c r="K103" s="12">
        <f t="shared" ref="K103" si="857">0.5*(K102+K104)</f>
        <v>0.91500000000000004</v>
      </c>
      <c r="L103" s="12">
        <f t="shared" ref="L103" si="858">0.5*(L102+L104)</f>
        <v>1</v>
      </c>
      <c r="M103" s="12">
        <f t="shared" ref="M103" si="859">0.5*(M102+M104)</f>
        <v>1</v>
      </c>
      <c r="N103" s="12">
        <f t="shared" ref="N103" si="860">0.5*(N102+N104)</f>
        <v>1</v>
      </c>
      <c r="O103" s="12">
        <f t="shared" ref="O103" si="861">0.5*(O102+O104)</f>
        <v>0.95750000000000002</v>
      </c>
      <c r="P103" s="12">
        <f t="shared" ref="P103" si="862">0.5*(P102+P104)</f>
        <v>0.85000000000000009</v>
      </c>
      <c r="Q103" s="12">
        <f t="shared" ref="Q103" si="863">0.5*(Q102+Q104)</f>
        <v>0.77249999999999996</v>
      </c>
      <c r="R103" s="12">
        <f t="shared" ref="R103" si="864">0.5*(R102+R104)</f>
        <v>0.70750000000000002</v>
      </c>
      <c r="S103" s="12">
        <f t="shared" ref="S103" si="865">0.5*(S102+S104)</f>
        <v>0.73499999999999999</v>
      </c>
      <c r="T103" s="13">
        <f t="shared" ref="T103" si="866">0.5*(T102+T104)</f>
        <v>0.90749999999999997</v>
      </c>
      <c r="U103" s="28"/>
      <c r="V103" s="29">
        <f t="shared" ref="V103" si="867">0.5*(V102+V104)</f>
        <v>65</v>
      </c>
      <c r="W103" s="12"/>
      <c r="X103" s="12">
        <f t="shared" ref="X103" si="868">0.5*(X102+X104)</f>
        <v>0.87</v>
      </c>
      <c r="Y103" s="12">
        <f t="shared" ref="Y103" si="869">0.5*(Y102+Y104)</f>
        <v>0.95499999999999996</v>
      </c>
      <c r="Z103" s="12">
        <f t="shared" ref="Z103" si="870">0.5*(Z102+Z104)</f>
        <v>0.89500000000000002</v>
      </c>
      <c r="AA103" s="12">
        <f t="shared" ref="AA103" si="871">0.5*(AA102+AA104)</f>
        <v>0.69500000000000006</v>
      </c>
      <c r="AB103" s="12">
        <f t="shared" ref="AB103" si="872">0.5*(AB102+AB104)</f>
        <v>0.92</v>
      </c>
      <c r="AC103" s="12">
        <f t="shared" ref="AC103" si="873">0.5*(AC102+AC104)</f>
        <v>1</v>
      </c>
      <c r="AD103" s="12">
        <f t="shared" ref="AD103" si="874">0.5*(AD102+AD104)</f>
        <v>0.95</v>
      </c>
      <c r="AE103" s="12">
        <f t="shared" ref="AE103" si="875">0.5*(AE102+AE104)</f>
        <v>0.73499999999999999</v>
      </c>
      <c r="AF103" s="12">
        <f t="shared" ref="AF103" si="876">0.5*(AF102+AF104)</f>
        <v>0.92</v>
      </c>
      <c r="AG103" s="12">
        <f t="shared" ref="AG103" si="877">0.5*(AG102+AG104)</f>
        <v>0.96</v>
      </c>
      <c r="AH103" s="12">
        <f t="shared" ref="AH103" si="878">0.5*(AH102+AH104)</f>
        <v>0.97499999999999998</v>
      </c>
      <c r="AI103" s="12">
        <f t="shared" ref="AI103" si="879">0.5*(AI102+AI104)</f>
        <v>0.84250000000000003</v>
      </c>
      <c r="AJ103" s="12">
        <f t="shared" ref="AJ103" si="880">0.5*(AJ102+AJ104)</f>
        <v>0.80249999999999999</v>
      </c>
      <c r="AK103" s="12">
        <f t="shared" ref="AK103" si="881">0.5*(AK102+AK104)</f>
        <v>0.91249999999999998</v>
      </c>
      <c r="AL103" s="12">
        <f t="shared" ref="AL103" si="882">0.5*(AL102+AL104)</f>
        <v>0.92500000000000004</v>
      </c>
      <c r="AM103" s="12">
        <f t="shared" ref="AM103" si="883">0.5*(AM102+AM104)</f>
        <v>0.79500000000000004</v>
      </c>
      <c r="AN103" s="12">
        <f t="shared" ref="AN103" si="884">0.5*(AN102+AN104)</f>
        <v>0.8075</v>
      </c>
    </row>
    <row r="104" spans="2:40">
      <c r="B104" s="25">
        <v>70</v>
      </c>
      <c r="C104" s="18" t="s">
        <v>35</v>
      </c>
      <c r="D104" s="19" t="s">
        <v>92</v>
      </c>
      <c r="E104" s="19" t="s">
        <v>53</v>
      </c>
      <c r="F104" s="19" t="s">
        <v>58</v>
      </c>
      <c r="G104" s="19" t="s">
        <v>61</v>
      </c>
      <c r="H104" s="19" t="s">
        <v>36</v>
      </c>
      <c r="I104" s="19" t="s">
        <v>36</v>
      </c>
      <c r="J104" s="19" t="s">
        <v>36</v>
      </c>
      <c r="K104" s="19" t="s">
        <v>48</v>
      </c>
      <c r="L104" s="19" t="str">
        <f t="shared" si="657"/>
        <v>1,00</v>
      </c>
      <c r="M104" s="19">
        <f t="shared" si="658"/>
        <v>1</v>
      </c>
      <c r="N104" s="19">
        <f t="shared" si="659"/>
        <v>1</v>
      </c>
      <c r="O104" s="19">
        <f t="shared" si="660"/>
        <v>0.95</v>
      </c>
      <c r="P104" s="19">
        <f t="shared" si="661"/>
        <v>0.83000000000000007</v>
      </c>
      <c r="Q104" s="19">
        <f t="shared" si="662"/>
        <v>0.745</v>
      </c>
      <c r="R104" s="19">
        <f t="shared" si="663"/>
        <v>0.67500000000000004</v>
      </c>
      <c r="S104" s="19">
        <f t="shared" si="664"/>
        <v>0.71500000000000008</v>
      </c>
      <c r="T104" s="19">
        <f t="shared" si="665"/>
        <v>0.90500000000000003</v>
      </c>
      <c r="V104" s="26">
        <v>70</v>
      </c>
      <c r="W104" s="18" t="s">
        <v>37</v>
      </c>
      <c r="X104" s="19" t="s">
        <v>47</v>
      </c>
      <c r="Y104" s="19" t="s">
        <v>41</v>
      </c>
      <c r="Z104" s="19" t="s">
        <v>49</v>
      </c>
      <c r="AA104" s="19" t="s">
        <v>96</v>
      </c>
      <c r="AB104" s="19" t="s">
        <v>44</v>
      </c>
      <c r="AC104" s="19" t="s">
        <v>36</v>
      </c>
      <c r="AD104" s="19" t="s">
        <v>43</v>
      </c>
      <c r="AE104" s="19" t="s">
        <v>122</v>
      </c>
      <c r="AF104" s="19" t="str">
        <f t="shared" si="666"/>
        <v>0,92</v>
      </c>
      <c r="AG104" s="19">
        <f t="shared" si="667"/>
        <v>0.96</v>
      </c>
      <c r="AH104" s="19">
        <f t="shared" si="668"/>
        <v>0.97</v>
      </c>
      <c r="AI104" s="19">
        <f t="shared" si="669"/>
        <v>0.82499999999999996</v>
      </c>
      <c r="AJ104" s="19">
        <f t="shared" si="670"/>
        <v>0.78499999999999992</v>
      </c>
      <c r="AK104" s="19">
        <f t="shared" si="671"/>
        <v>0.90500000000000003</v>
      </c>
      <c r="AL104" s="19">
        <f t="shared" si="672"/>
        <v>0.91500000000000004</v>
      </c>
      <c r="AM104" s="19">
        <f t="shared" si="673"/>
        <v>0.77</v>
      </c>
      <c r="AN104" s="19">
        <f t="shared" si="674"/>
        <v>0.79</v>
      </c>
    </row>
    <row r="105" spans="2:40">
      <c r="B105" s="27">
        <f>0.5*(B104+B106)</f>
        <v>75</v>
      </c>
      <c r="C105" s="12"/>
      <c r="D105" s="12">
        <f t="shared" ref="D105" si="885">0.5*(D104+D106)</f>
        <v>0.76</v>
      </c>
      <c r="E105" s="12">
        <f t="shared" ref="E105" si="886">0.5*(E104+E106)</f>
        <v>0.73</v>
      </c>
      <c r="F105" s="12">
        <f t="shared" ref="F105" si="887">0.5*(F104+F106)</f>
        <v>0.62</v>
      </c>
      <c r="G105" s="12">
        <f t="shared" ref="G105" si="888">0.5*(G104+G106)</f>
        <v>0.81</v>
      </c>
      <c r="H105" s="12">
        <f t="shared" ref="H105" si="889">0.5*(H104+H106)</f>
        <v>1</v>
      </c>
      <c r="I105" s="12">
        <f t="shared" ref="I105" si="890">0.5*(I104+I106)</f>
        <v>1</v>
      </c>
      <c r="J105" s="12">
        <f t="shared" ref="J105" si="891">0.5*(J104+J106)</f>
        <v>1</v>
      </c>
      <c r="K105" s="12">
        <f t="shared" ref="K105" si="892">0.5*(K104+K106)</f>
        <v>0.90500000000000003</v>
      </c>
      <c r="L105" s="12">
        <f t="shared" ref="L105" si="893">0.5*(L104+L106)</f>
        <v>1</v>
      </c>
      <c r="M105" s="12">
        <f t="shared" ref="M105" si="894">0.5*(M104+M106)</f>
        <v>1</v>
      </c>
      <c r="N105" s="12">
        <f t="shared" ref="N105" si="895">0.5*(N104+N106)</f>
        <v>1</v>
      </c>
      <c r="O105" s="12">
        <f t="shared" ref="O105" si="896">0.5*(O104+O106)</f>
        <v>0.95250000000000001</v>
      </c>
      <c r="P105" s="12">
        <f t="shared" ref="P105" si="897">0.5*(P104+P106)</f>
        <v>0.83250000000000002</v>
      </c>
      <c r="Q105" s="12">
        <f t="shared" ref="Q105" si="898">0.5*(Q104+Q106)</f>
        <v>0.745</v>
      </c>
      <c r="R105" s="12">
        <f t="shared" ref="R105" si="899">0.5*(R104+R106)</f>
        <v>0.67500000000000004</v>
      </c>
      <c r="S105" s="12">
        <f t="shared" ref="S105" si="900">0.5*(S104+S106)</f>
        <v>0.71500000000000008</v>
      </c>
      <c r="T105" s="13">
        <f t="shared" ref="T105" si="901">0.5*(T104+T106)</f>
        <v>0.90500000000000003</v>
      </c>
      <c r="U105" s="28"/>
      <c r="V105" s="29">
        <f t="shared" ref="V105" si="902">0.5*(V104+V106)</f>
        <v>75</v>
      </c>
      <c r="W105" s="12"/>
      <c r="X105" s="12">
        <f t="shared" ref="X105" si="903">0.5*(X104+X106)</f>
        <v>0.86</v>
      </c>
      <c r="Y105" s="12">
        <f t="shared" ref="Y105" si="904">0.5*(Y104+Y106)</f>
        <v>0.95</v>
      </c>
      <c r="Z105" s="12">
        <f t="shared" ref="Z105" si="905">0.5*(Z104+Z106)</f>
        <v>0.88</v>
      </c>
      <c r="AA105" s="12">
        <f t="shared" ref="AA105" si="906">0.5*(AA104+AA106)</f>
        <v>0.66</v>
      </c>
      <c r="AB105" s="12">
        <f t="shared" ref="AB105" si="907">0.5*(AB104+AB106)</f>
        <v>0.92</v>
      </c>
      <c r="AC105" s="12">
        <f t="shared" ref="AC105" si="908">0.5*(AC104+AC106)</f>
        <v>1</v>
      </c>
      <c r="AD105" s="12">
        <f t="shared" ref="AD105" si="909">0.5*(AD104+AD106)</f>
        <v>0.94</v>
      </c>
      <c r="AE105" s="12">
        <f t="shared" ref="AE105" si="910">0.5*(AE104+AE106)</f>
        <v>0.71</v>
      </c>
      <c r="AF105" s="12">
        <f t="shared" ref="AF105" si="911">0.5*(AF104+AF106)</f>
        <v>0.92</v>
      </c>
      <c r="AG105" s="12">
        <f t="shared" ref="AG105" si="912">0.5*(AG104+AG106)</f>
        <v>0.96</v>
      </c>
      <c r="AH105" s="12">
        <f t="shared" ref="AH105" si="913">0.5*(AH104+AH106)</f>
        <v>0.97</v>
      </c>
      <c r="AI105" s="12">
        <f t="shared" ref="AI105" si="914">0.5*(AI104+AI106)</f>
        <v>0.82499999999999996</v>
      </c>
      <c r="AJ105" s="12">
        <f t="shared" ref="AJ105" si="915">0.5*(AJ104+AJ106)</f>
        <v>0.78499999999999992</v>
      </c>
      <c r="AK105" s="12">
        <f t="shared" ref="AK105" si="916">0.5*(AK104+AK106)</f>
        <v>0.90500000000000003</v>
      </c>
      <c r="AL105" s="12">
        <f t="shared" ref="AL105" si="917">0.5*(AL104+AL106)</f>
        <v>0.91500000000000004</v>
      </c>
      <c r="AM105" s="12">
        <f t="shared" ref="AM105" si="918">0.5*(AM104+AM106)</f>
        <v>0.77</v>
      </c>
      <c r="AN105" s="12">
        <f t="shared" ref="AN105" si="919">0.5*(AN104+AN106)</f>
        <v>0.79</v>
      </c>
    </row>
    <row r="106" spans="2:40">
      <c r="B106" s="25">
        <v>80</v>
      </c>
      <c r="C106" s="18" t="s">
        <v>35</v>
      </c>
      <c r="D106" s="19" t="s">
        <v>92</v>
      </c>
      <c r="E106" s="19" t="s">
        <v>53</v>
      </c>
      <c r="F106" s="19" t="s">
        <v>58</v>
      </c>
      <c r="G106" s="19" t="s">
        <v>61</v>
      </c>
      <c r="H106" s="19" t="s">
        <v>36</v>
      </c>
      <c r="I106" s="19" t="s">
        <v>36</v>
      </c>
      <c r="J106" s="19" t="s">
        <v>36</v>
      </c>
      <c r="K106" s="19" t="s">
        <v>45</v>
      </c>
      <c r="L106" s="19" t="str">
        <f t="shared" si="657"/>
        <v>1,00</v>
      </c>
      <c r="M106" s="19">
        <f t="shared" si="658"/>
        <v>1</v>
      </c>
      <c r="N106" s="19">
        <f t="shared" si="659"/>
        <v>1</v>
      </c>
      <c r="O106" s="19">
        <f t="shared" si="660"/>
        <v>0.95500000000000007</v>
      </c>
      <c r="P106" s="19">
        <f t="shared" si="661"/>
        <v>0.83499999999999996</v>
      </c>
      <c r="Q106" s="19">
        <f t="shared" si="662"/>
        <v>0.745</v>
      </c>
      <c r="R106" s="19">
        <f t="shared" si="663"/>
        <v>0.67500000000000004</v>
      </c>
      <c r="S106" s="19">
        <f t="shared" si="664"/>
        <v>0.71500000000000008</v>
      </c>
      <c r="T106" s="19">
        <f t="shared" si="665"/>
        <v>0.90500000000000003</v>
      </c>
      <c r="V106" s="26">
        <v>80</v>
      </c>
      <c r="W106" s="18" t="s">
        <v>37</v>
      </c>
      <c r="X106" s="19" t="s">
        <v>47</v>
      </c>
      <c r="Y106" s="19" t="s">
        <v>41</v>
      </c>
      <c r="Z106" s="19" t="s">
        <v>49</v>
      </c>
      <c r="AA106" s="19" t="s">
        <v>96</v>
      </c>
      <c r="AB106" s="19" t="s">
        <v>44</v>
      </c>
      <c r="AC106" s="19" t="s">
        <v>36</v>
      </c>
      <c r="AD106" s="19" t="s">
        <v>43</v>
      </c>
      <c r="AE106" s="19" t="s">
        <v>122</v>
      </c>
      <c r="AF106" s="19" t="str">
        <f t="shared" si="666"/>
        <v>0,92</v>
      </c>
      <c r="AG106" s="19">
        <f t="shared" si="667"/>
        <v>0.96</v>
      </c>
      <c r="AH106" s="19">
        <f t="shared" si="668"/>
        <v>0.97</v>
      </c>
      <c r="AI106" s="19">
        <f t="shared" si="669"/>
        <v>0.82499999999999996</v>
      </c>
      <c r="AJ106" s="19">
        <f t="shared" si="670"/>
        <v>0.78499999999999992</v>
      </c>
      <c r="AK106" s="19">
        <f t="shared" si="671"/>
        <v>0.90500000000000003</v>
      </c>
      <c r="AL106" s="19">
        <f t="shared" si="672"/>
        <v>0.91500000000000004</v>
      </c>
      <c r="AM106" s="19">
        <f t="shared" si="673"/>
        <v>0.77</v>
      </c>
      <c r="AN106" s="19">
        <f t="shared" si="674"/>
        <v>0.79</v>
      </c>
    </row>
    <row r="107" spans="2:40">
      <c r="B107" s="27">
        <f>0.5*(B106+B108)</f>
        <v>85</v>
      </c>
      <c r="C107" s="12"/>
      <c r="D107" s="12">
        <f t="shared" ref="D107" si="920">0.5*(D106+D108)</f>
        <v>0.76</v>
      </c>
      <c r="E107" s="12">
        <f t="shared" ref="E107" si="921">0.5*(E106+E108)</f>
        <v>0.73</v>
      </c>
      <c r="F107" s="12">
        <f t="shared" ref="F107" si="922">0.5*(F106+F108)</f>
        <v>0.62</v>
      </c>
      <c r="G107" s="12">
        <f t="shared" ref="G107" si="923">0.5*(G106+G108)</f>
        <v>0.81</v>
      </c>
      <c r="H107" s="12">
        <f t="shared" ref="H107" si="924">0.5*(H106+H108)</f>
        <v>1</v>
      </c>
      <c r="I107" s="12">
        <f t="shared" ref="I107" si="925">0.5*(I106+I108)</f>
        <v>1</v>
      </c>
      <c r="J107" s="12">
        <f t="shared" ref="J107" si="926">0.5*(J106+J108)</f>
        <v>1</v>
      </c>
      <c r="K107" s="12">
        <f t="shared" ref="K107" si="927">0.5*(K106+K108)</f>
        <v>0.91500000000000004</v>
      </c>
      <c r="L107" s="12">
        <f t="shared" ref="L107" si="928">0.5*(L106+L108)</f>
        <v>1</v>
      </c>
      <c r="M107" s="12">
        <f t="shared" ref="M107" si="929">0.5*(M106+M108)</f>
        <v>1</v>
      </c>
      <c r="N107" s="12">
        <f t="shared" ref="N107" si="930">0.5*(N106+N108)</f>
        <v>1</v>
      </c>
      <c r="O107" s="12">
        <f t="shared" ref="O107" si="931">0.5*(O106+O108)</f>
        <v>0.95750000000000002</v>
      </c>
      <c r="P107" s="12">
        <f t="shared" ref="P107" si="932">0.5*(P106+P108)</f>
        <v>0.83750000000000002</v>
      </c>
      <c r="Q107" s="12">
        <f t="shared" ref="Q107" si="933">0.5*(Q106+Q108)</f>
        <v>0.745</v>
      </c>
      <c r="R107" s="12">
        <f t="shared" ref="R107" si="934">0.5*(R106+R108)</f>
        <v>0.67500000000000004</v>
      </c>
      <c r="S107" s="12">
        <f t="shared" ref="S107" si="935">0.5*(S106+S108)</f>
        <v>0.71500000000000008</v>
      </c>
      <c r="T107" s="13">
        <f t="shared" ref="T107" si="936">0.5*(T106+T108)</f>
        <v>0.90500000000000003</v>
      </c>
      <c r="U107" s="28"/>
      <c r="V107" s="29">
        <f t="shared" ref="V107" si="937">0.5*(V106+V108)</f>
        <v>85</v>
      </c>
      <c r="W107" s="12"/>
      <c r="X107" s="12">
        <f t="shared" ref="X107" si="938">0.5*(X106+X108)</f>
        <v>0.86</v>
      </c>
      <c r="Y107" s="12">
        <f t="shared" ref="Y107" si="939">0.5*(Y106+Y108)</f>
        <v>0.95</v>
      </c>
      <c r="Z107" s="12">
        <f t="shared" ref="Z107" si="940">0.5*(Z106+Z108)</f>
        <v>0.88</v>
      </c>
      <c r="AA107" s="12">
        <f t="shared" ref="AA107" si="941">0.5*(AA106+AA108)</f>
        <v>0.66</v>
      </c>
      <c r="AB107" s="12">
        <f t="shared" ref="AB107" si="942">0.5*(AB106+AB108)</f>
        <v>0.92</v>
      </c>
      <c r="AC107" s="12">
        <f t="shared" ref="AC107" si="943">0.5*(AC106+AC108)</f>
        <v>1</v>
      </c>
      <c r="AD107" s="12">
        <f t="shared" ref="AD107" si="944">0.5*(AD106+AD108)</f>
        <v>0.94</v>
      </c>
      <c r="AE107" s="12">
        <f t="shared" ref="AE107" si="945">0.5*(AE106+AE108)</f>
        <v>0.71</v>
      </c>
      <c r="AF107" s="12">
        <f t="shared" ref="AF107" si="946">0.5*(AF106+AF108)</f>
        <v>0.92</v>
      </c>
      <c r="AG107" s="12">
        <f t="shared" ref="AG107" si="947">0.5*(AG106+AG108)</f>
        <v>0.96</v>
      </c>
      <c r="AH107" s="12">
        <f t="shared" ref="AH107" si="948">0.5*(AH106+AH108)</f>
        <v>0.97</v>
      </c>
      <c r="AI107" s="12">
        <f t="shared" ref="AI107" si="949">0.5*(AI106+AI108)</f>
        <v>0.82499999999999996</v>
      </c>
      <c r="AJ107" s="12">
        <f t="shared" ref="AJ107" si="950">0.5*(AJ106+AJ108)</f>
        <v>0.78499999999999992</v>
      </c>
      <c r="AK107" s="12">
        <f t="shared" ref="AK107" si="951">0.5*(AK106+AK108)</f>
        <v>0.90500000000000003</v>
      </c>
      <c r="AL107" s="12">
        <f t="shared" ref="AL107" si="952">0.5*(AL106+AL108)</f>
        <v>0.91500000000000004</v>
      </c>
      <c r="AM107" s="12">
        <f t="shared" ref="AM107" si="953">0.5*(AM106+AM108)</f>
        <v>0.77</v>
      </c>
      <c r="AN107" s="12">
        <f t="shared" ref="AN107" si="954">0.5*(AN106+AN108)</f>
        <v>0.79</v>
      </c>
    </row>
    <row r="108" spans="2:40">
      <c r="B108" s="25">
        <v>90</v>
      </c>
      <c r="C108" s="18" t="s">
        <v>35</v>
      </c>
      <c r="D108" s="19" t="s">
        <v>92</v>
      </c>
      <c r="E108" s="19" t="s">
        <v>53</v>
      </c>
      <c r="F108" s="19" t="s">
        <v>58</v>
      </c>
      <c r="G108" s="19" t="s">
        <v>61</v>
      </c>
      <c r="H108" s="19" t="s">
        <v>36</v>
      </c>
      <c r="I108" s="19" t="s">
        <v>36</v>
      </c>
      <c r="J108" s="19" t="s">
        <v>36</v>
      </c>
      <c r="K108" s="19" t="s">
        <v>44</v>
      </c>
      <c r="L108" s="19" t="str">
        <f t="shared" si="657"/>
        <v>1,00</v>
      </c>
      <c r="M108" s="19">
        <f t="shared" si="658"/>
        <v>1</v>
      </c>
      <c r="N108" s="19">
        <f t="shared" si="659"/>
        <v>1</v>
      </c>
      <c r="O108" s="19">
        <f t="shared" si="660"/>
        <v>0.96</v>
      </c>
      <c r="P108" s="19">
        <f t="shared" si="661"/>
        <v>0.84000000000000008</v>
      </c>
      <c r="Q108" s="19">
        <f t="shared" si="662"/>
        <v>0.745</v>
      </c>
      <c r="R108" s="19">
        <f t="shared" si="663"/>
        <v>0.67500000000000004</v>
      </c>
      <c r="S108" s="19">
        <f t="shared" si="664"/>
        <v>0.71500000000000008</v>
      </c>
      <c r="T108" s="19">
        <f>0.5*(G108+L108)</f>
        <v>0.90500000000000003</v>
      </c>
      <c r="V108" s="26">
        <v>90</v>
      </c>
      <c r="W108" s="18" t="s">
        <v>37</v>
      </c>
      <c r="X108" s="19" t="s">
        <v>47</v>
      </c>
      <c r="Y108" s="19" t="s">
        <v>41</v>
      </c>
      <c r="Z108" s="19" t="s">
        <v>49</v>
      </c>
      <c r="AA108" s="19" t="s">
        <v>96</v>
      </c>
      <c r="AB108" s="19" t="s">
        <v>44</v>
      </c>
      <c r="AC108" s="19" t="s">
        <v>36</v>
      </c>
      <c r="AD108" s="19" t="s">
        <v>43</v>
      </c>
      <c r="AE108" s="19" t="s">
        <v>122</v>
      </c>
      <c r="AF108" s="19" t="str">
        <f t="shared" si="666"/>
        <v>0,92</v>
      </c>
      <c r="AG108" s="19">
        <f t="shared" si="667"/>
        <v>0.96</v>
      </c>
      <c r="AH108" s="19">
        <f t="shared" si="668"/>
        <v>0.97</v>
      </c>
      <c r="AI108" s="19">
        <f t="shared" si="669"/>
        <v>0.82499999999999996</v>
      </c>
      <c r="AJ108" s="19">
        <f t="shared" si="670"/>
        <v>0.78499999999999992</v>
      </c>
      <c r="AK108" s="19">
        <f t="shared" si="671"/>
        <v>0.90500000000000003</v>
      </c>
      <c r="AL108" s="19">
        <f t="shared" si="672"/>
        <v>0.91500000000000004</v>
      </c>
      <c r="AM108" s="19">
        <f t="shared" si="673"/>
        <v>0.77</v>
      </c>
      <c r="AN108" s="19">
        <f t="shared" si="674"/>
        <v>0.79</v>
      </c>
    </row>
    <row r="111" spans="2:40">
      <c r="B111" s="857" t="s">
        <v>134</v>
      </c>
      <c r="C111" s="857"/>
      <c r="D111" s="857"/>
      <c r="E111" s="857"/>
      <c r="F111" s="857"/>
      <c r="G111" s="857"/>
      <c r="H111" s="857"/>
      <c r="I111" s="857"/>
      <c r="J111" s="857"/>
      <c r="K111" s="857"/>
      <c r="L111" s="23"/>
      <c r="M111" s="23"/>
      <c r="N111" s="23"/>
      <c r="O111" s="23"/>
      <c r="P111" s="23"/>
      <c r="Q111" s="23"/>
      <c r="R111" s="23"/>
      <c r="S111" s="23"/>
      <c r="T111" s="23"/>
      <c r="V111" s="857" t="s">
        <v>134</v>
      </c>
      <c r="W111" s="857"/>
      <c r="X111" s="857"/>
      <c r="Y111" s="857"/>
      <c r="Z111" s="857"/>
      <c r="AA111" s="857"/>
      <c r="AB111" s="857"/>
      <c r="AC111" s="857"/>
      <c r="AD111" s="857"/>
      <c r="AE111" s="857"/>
    </row>
    <row r="112" spans="2:40">
      <c r="B112" s="852" t="s">
        <v>121</v>
      </c>
      <c r="C112" s="852" t="s">
        <v>33</v>
      </c>
      <c r="D112" s="854" t="s">
        <v>34</v>
      </c>
      <c r="E112" s="855"/>
      <c r="F112" s="855"/>
      <c r="G112" s="855"/>
      <c r="H112" s="855"/>
      <c r="I112" s="855"/>
      <c r="J112" s="855"/>
      <c r="K112" s="856"/>
      <c r="L112" s="15"/>
      <c r="M112" s="15"/>
      <c r="N112" s="15"/>
      <c r="O112" s="15"/>
      <c r="P112" s="15"/>
      <c r="Q112" s="15"/>
      <c r="R112" s="15"/>
      <c r="S112" s="15"/>
      <c r="T112" s="15"/>
      <c r="V112" s="852" t="s">
        <v>121</v>
      </c>
      <c r="W112" s="852" t="s">
        <v>33</v>
      </c>
      <c r="X112" s="854" t="s">
        <v>34</v>
      </c>
      <c r="Y112" s="855"/>
      <c r="Z112" s="855"/>
      <c r="AA112" s="855"/>
      <c r="AB112" s="855"/>
      <c r="AC112" s="855"/>
      <c r="AD112" s="855"/>
      <c r="AE112" s="856"/>
    </row>
    <row r="113" spans="2:40">
      <c r="B113" s="853"/>
      <c r="C113" s="853"/>
      <c r="D113" s="24">
        <v>180</v>
      </c>
      <c r="E113" s="24">
        <v>225</v>
      </c>
      <c r="F113" s="24">
        <v>270</v>
      </c>
      <c r="G113" s="24">
        <v>315</v>
      </c>
      <c r="H113" s="24">
        <v>0</v>
      </c>
      <c r="I113" s="24">
        <v>45</v>
      </c>
      <c r="J113" s="24">
        <v>90</v>
      </c>
      <c r="K113" s="24">
        <v>135</v>
      </c>
      <c r="L113" s="15">
        <v>360</v>
      </c>
      <c r="M113" s="15">
        <f t="shared" ref="M113:O114" si="955">0.5*(H113+I113)</f>
        <v>22.5</v>
      </c>
      <c r="N113" s="15">
        <f t="shared" si="955"/>
        <v>67.5</v>
      </c>
      <c r="O113" s="15">
        <f t="shared" si="955"/>
        <v>112.5</v>
      </c>
      <c r="P113" s="15">
        <f>0.5*(K113+D113)</f>
        <v>157.5</v>
      </c>
      <c r="Q113" s="15">
        <f t="shared" ref="Q113:S114" si="956">0.5*(D113+E113)</f>
        <v>202.5</v>
      </c>
      <c r="R113" s="15">
        <f t="shared" si="956"/>
        <v>247.5</v>
      </c>
      <c r="S113" s="15">
        <f t="shared" si="956"/>
        <v>292.5</v>
      </c>
      <c r="T113" s="15">
        <f>0.5*(G113+L113)</f>
        <v>337.5</v>
      </c>
      <c r="V113" s="853"/>
      <c r="W113" s="853"/>
      <c r="X113" s="24">
        <v>180</v>
      </c>
      <c r="Y113" s="24">
        <v>225</v>
      </c>
      <c r="Z113" s="24">
        <v>270</v>
      </c>
      <c r="AA113" s="24">
        <v>315</v>
      </c>
      <c r="AB113" s="24">
        <v>0</v>
      </c>
      <c r="AC113" s="24">
        <v>45</v>
      </c>
      <c r="AD113" s="24">
        <v>90</v>
      </c>
      <c r="AE113" s="24">
        <v>135</v>
      </c>
      <c r="AF113" s="15">
        <v>360</v>
      </c>
      <c r="AG113" s="15">
        <f t="shared" ref="AG113:AI114" si="957">0.5*(AB113+AC113)</f>
        <v>22.5</v>
      </c>
      <c r="AH113" s="15">
        <f t="shared" si="957"/>
        <v>67.5</v>
      </c>
      <c r="AI113" s="15">
        <f t="shared" si="957"/>
        <v>112.5</v>
      </c>
      <c r="AJ113" s="15">
        <f>0.5*(AE113+X113)</f>
        <v>157.5</v>
      </c>
      <c r="AK113" s="15">
        <f t="shared" ref="AK113:AM114" si="958">0.5*(X113+Y113)</f>
        <v>202.5</v>
      </c>
      <c r="AL113" s="15">
        <f t="shared" si="958"/>
        <v>247.5</v>
      </c>
      <c r="AM113" s="15">
        <f t="shared" si="958"/>
        <v>292.5</v>
      </c>
      <c r="AN113" s="15">
        <f>0.5*(AA113+AF113)</f>
        <v>337.5</v>
      </c>
    </row>
    <row r="114" spans="2:40">
      <c r="B114" s="25">
        <v>0</v>
      </c>
      <c r="C114" s="18" t="s">
        <v>35</v>
      </c>
      <c r="D114" s="19" t="s">
        <v>36</v>
      </c>
      <c r="E114" s="19" t="s">
        <v>36</v>
      </c>
      <c r="F114" s="19" t="s">
        <v>36</v>
      </c>
      <c r="G114" s="19" t="s">
        <v>36</v>
      </c>
      <c r="H114" s="19" t="s">
        <v>36</v>
      </c>
      <c r="I114" s="19" t="s">
        <v>36</v>
      </c>
      <c r="J114" s="19" t="s">
        <v>36</v>
      </c>
      <c r="K114" s="19" t="s">
        <v>36</v>
      </c>
      <c r="L114" s="19" t="str">
        <f>H114</f>
        <v>1,00</v>
      </c>
      <c r="M114" s="19">
        <f t="shared" si="955"/>
        <v>1</v>
      </c>
      <c r="N114" s="19">
        <f t="shared" si="955"/>
        <v>1</v>
      </c>
      <c r="O114" s="19">
        <f t="shared" si="955"/>
        <v>1</v>
      </c>
      <c r="P114" s="19">
        <f>0.5*(K114+D114)</f>
        <v>1</v>
      </c>
      <c r="Q114" s="19">
        <f t="shared" si="956"/>
        <v>1</v>
      </c>
      <c r="R114" s="19">
        <f t="shared" si="956"/>
        <v>1</v>
      </c>
      <c r="S114" s="19">
        <f t="shared" si="956"/>
        <v>1</v>
      </c>
      <c r="T114" s="19">
        <f>0.5*(G114+L114)</f>
        <v>1</v>
      </c>
      <c r="V114" s="26">
        <v>0</v>
      </c>
      <c r="W114" s="18" t="s">
        <v>37</v>
      </c>
      <c r="X114" s="19">
        <v>1</v>
      </c>
      <c r="Y114" s="19" t="s">
        <v>36</v>
      </c>
      <c r="Z114" s="19" t="s">
        <v>36</v>
      </c>
      <c r="AA114" s="19" t="s">
        <v>36</v>
      </c>
      <c r="AB114" s="19" t="s">
        <v>36</v>
      </c>
      <c r="AC114" s="19" t="s">
        <v>36</v>
      </c>
      <c r="AD114" s="19" t="s">
        <v>36</v>
      </c>
      <c r="AE114" s="19" t="s">
        <v>36</v>
      </c>
      <c r="AF114" s="19" t="str">
        <f>AB114</f>
        <v>1,00</v>
      </c>
      <c r="AG114" s="19">
        <f t="shared" si="957"/>
        <v>1</v>
      </c>
      <c r="AH114" s="19">
        <f t="shared" si="957"/>
        <v>1</v>
      </c>
      <c r="AI114" s="19">
        <f t="shared" si="957"/>
        <v>1</v>
      </c>
      <c r="AJ114" s="19">
        <f>0.5*(AE114+X114)</f>
        <v>1</v>
      </c>
      <c r="AK114" s="19">
        <f t="shared" si="958"/>
        <v>1</v>
      </c>
      <c r="AL114" s="19">
        <f t="shared" si="958"/>
        <v>1</v>
      </c>
      <c r="AM114" s="19">
        <f t="shared" si="958"/>
        <v>1</v>
      </c>
      <c r="AN114" s="19">
        <f>0.5*(AA114+AF114)</f>
        <v>1</v>
      </c>
    </row>
    <row r="115" spans="2:40">
      <c r="B115" s="27">
        <f>0.5*(B114+B116)</f>
        <v>5</v>
      </c>
      <c r="C115" s="12"/>
      <c r="D115" s="12">
        <f t="shared" ref="D115" si="959">0.5*(D114+D116)</f>
        <v>0.98499999999999999</v>
      </c>
      <c r="E115" s="12">
        <f t="shared" ref="E115" si="960">0.5*(E114+E116)</f>
        <v>0.995</v>
      </c>
      <c r="F115" s="12">
        <f t="shared" ref="F115" si="961">0.5*(F114+F116)</f>
        <v>1</v>
      </c>
      <c r="G115" s="12">
        <f t="shared" ref="G115" si="962">0.5*(G114+G116)</f>
        <v>1</v>
      </c>
      <c r="H115" s="12">
        <f t="shared" ref="H115" si="963">0.5*(H114+H116)</f>
        <v>1</v>
      </c>
      <c r="I115" s="12">
        <f t="shared" ref="I115" si="964">0.5*(I114+I116)</f>
        <v>0.97499999999999998</v>
      </c>
      <c r="J115" s="12">
        <f t="shared" ref="J115" si="965">0.5*(J114+J116)</f>
        <v>0.97499999999999998</v>
      </c>
      <c r="K115" s="12">
        <f t="shared" ref="K115" si="966">0.5*(K114+K116)</f>
        <v>0.98499999999999999</v>
      </c>
      <c r="L115" s="12">
        <f t="shared" ref="L115" si="967">0.5*(L114+L116)</f>
        <v>1</v>
      </c>
      <c r="M115" s="12">
        <f t="shared" ref="M115" si="968">0.5*(M114+M116)</f>
        <v>0.98750000000000004</v>
      </c>
      <c r="N115" s="12">
        <f t="shared" ref="N115" si="969">0.5*(N114+N116)</f>
        <v>0.97499999999999998</v>
      </c>
      <c r="O115" s="12">
        <f t="shared" ref="O115" si="970">0.5*(O114+O116)</f>
        <v>0.98</v>
      </c>
      <c r="P115" s="12">
        <f t="shared" ref="P115" si="971">0.5*(P114+P116)</f>
        <v>0.98499999999999999</v>
      </c>
      <c r="Q115" s="12">
        <f t="shared" ref="Q115" si="972">0.5*(Q114+Q116)</f>
        <v>0.99</v>
      </c>
      <c r="R115" s="12">
        <f t="shared" ref="R115" si="973">0.5*(R114+R116)</f>
        <v>0.99750000000000005</v>
      </c>
      <c r="S115" s="12">
        <f t="shared" ref="S115" si="974">0.5*(S114+S116)</f>
        <v>1</v>
      </c>
      <c r="T115" s="13">
        <f t="shared" ref="T115" si="975">0.5*(T114+T116)</f>
        <v>1</v>
      </c>
      <c r="U115" s="28"/>
      <c r="V115" s="29">
        <f t="shared" ref="V115" si="976">0.5*(V114+V116)</f>
        <v>5</v>
      </c>
      <c r="W115" s="12"/>
      <c r="X115" s="12">
        <f t="shared" ref="X115" si="977">0.5*(X114+X116)</f>
        <v>0.98499999999999999</v>
      </c>
      <c r="Y115" s="12">
        <f t="shared" ref="Y115" si="978">0.5*(Y114+Y116)</f>
        <v>0.98499999999999999</v>
      </c>
      <c r="Z115" s="12">
        <f t="shared" ref="Z115" si="979">0.5*(Z114+Z116)</f>
        <v>1</v>
      </c>
      <c r="AA115" s="12">
        <f t="shared" ref="AA115" si="980">0.5*(AA114+AA116)</f>
        <v>1</v>
      </c>
      <c r="AB115" s="12">
        <f t="shared" ref="AB115" si="981">0.5*(AB114+AB116)</f>
        <v>0.98499999999999999</v>
      </c>
      <c r="AC115" s="12">
        <f t="shared" ref="AC115" si="982">0.5*(AC114+AC116)</f>
        <v>0.98</v>
      </c>
      <c r="AD115" s="12">
        <f t="shared" ref="AD115" si="983">0.5*(AD114+AD116)</f>
        <v>0.995</v>
      </c>
      <c r="AE115" s="12">
        <f t="shared" ref="AE115" si="984">0.5*(AE114+AE116)</f>
        <v>0.995</v>
      </c>
      <c r="AF115" s="12">
        <f t="shared" ref="AF115" si="985">0.5*(AF114+AF116)</f>
        <v>0.98499999999999999</v>
      </c>
      <c r="AG115" s="12">
        <f t="shared" ref="AG115" si="986">0.5*(AG114+AG116)</f>
        <v>0.98249999999999993</v>
      </c>
      <c r="AH115" s="12">
        <f t="shared" ref="AH115" si="987">0.5*(AH114+AH116)</f>
        <v>0.98750000000000004</v>
      </c>
      <c r="AI115" s="12">
        <f t="shared" ref="AI115" si="988">0.5*(AI114+AI116)</f>
        <v>0.995</v>
      </c>
      <c r="AJ115" s="12">
        <f t="shared" ref="AJ115" si="989">0.5*(AJ114+AJ116)</f>
        <v>0.99</v>
      </c>
      <c r="AK115" s="12">
        <f t="shared" ref="AK115" si="990">0.5*(AK114+AK116)</f>
        <v>0.98499999999999999</v>
      </c>
      <c r="AL115" s="12">
        <f t="shared" ref="AL115" si="991">0.5*(AL114+AL116)</f>
        <v>0.99249999999999994</v>
      </c>
      <c r="AM115" s="12">
        <f t="shared" ref="AM115" si="992">0.5*(AM114+AM116)</f>
        <v>1</v>
      </c>
      <c r="AN115" s="12">
        <f t="shared" ref="AN115" si="993">0.5*(AN114+AN116)</f>
        <v>0.99249999999999994</v>
      </c>
    </row>
    <row r="116" spans="2:40">
      <c r="B116" s="25">
        <v>10</v>
      </c>
      <c r="C116" s="18" t="s">
        <v>35</v>
      </c>
      <c r="D116" s="19" t="s">
        <v>39</v>
      </c>
      <c r="E116" s="19" t="s">
        <v>64</v>
      </c>
      <c r="F116" s="19" t="s">
        <v>36</v>
      </c>
      <c r="G116" s="19" t="s">
        <v>36</v>
      </c>
      <c r="H116" s="19" t="s">
        <v>36</v>
      </c>
      <c r="I116" s="19" t="s">
        <v>41</v>
      </c>
      <c r="J116" s="19" t="s">
        <v>41</v>
      </c>
      <c r="K116" s="19" t="s">
        <v>39</v>
      </c>
      <c r="L116" s="19" t="str">
        <f t="shared" ref="L116:L132" si="994">H116</f>
        <v>1,00</v>
      </c>
      <c r="M116" s="19">
        <f t="shared" ref="M116:M132" si="995">0.5*(H116+I116)</f>
        <v>0.97499999999999998</v>
      </c>
      <c r="N116" s="19">
        <f t="shared" ref="N116:N132" si="996">0.5*(I116+J116)</f>
        <v>0.95</v>
      </c>
      <c r="O116" s="19">
        <f t="shared" ref="O116:O132" si="997">0.5*(J116+K116)</f>
        <v>0.96</v>
      </c>
      <c r="P116" s="19">
        <f t="shared" ref="P116:P132" si="998">0.5*(K116+D116)</f>
        <v>0.97</v>
      </c>
      <c r="Q116" s="19">
        <f t="shared" ref="Q116:Q132" si="999">0.5*(D116+E116)</f>
        <v>0.98</v>
      </c>
      <c r="R116" s="19">
        <f t="shared" ref="R116:R132" si="1000">0.5*(E116+F116)</f>
        <v>0.995</v>
      </c>
      <c r="S116" s="19">
        <f t="shared" ref="S116:S132" si="1001">0.5*(F116+G116)</f>
        <v>1</v>
      </c>
      <c r="T116" s="19">
        <f t="shared" ref="T116:T132" si="1002">0.5*(G116+L116)</f>
        <v>1</v>
      </c>
      <c r="V116" s="26">
        <v>10</v>
      </c>
      <c r="W116" s="18" t="s">
        <v>37</v>
      </c>
      <c r="X116" s="19" t="s">
        <v>39</v>
      </c>
      <c r="Y116" s="19" t="s">
        <v>39</v>
      </c>
      <c r="Z116" s="19" t="s">
        <v>36</v>
      </c>
      <c r="AA116" s="19" t="s">
        <v>36</v>
      </c>
      <c r="AB116" s="19" t="s">
        <v>39</v>
      </c>
      <c r="AC116" s="19" t="s">
        <v>40</v>
      </c>
      <c r="AD116" s="19" t="s">
        <v>64</v>
      </c>
      <c r="AE116" s="19" t="s">
        <v>64</v>
      </c>
      <c r="AF116" s="19" t="str">
        <f t="shared" ref="AF116:AF132" si="1003">AB116</f>
        <v>0,97</v>
      </c>
      <c r="AG116" s="19">
        <f t="shared" ref="AG116:AG132" si="1004">0.5*(AB116+AC116)</f>
        <v>0.96499999999999997</v>
      </c>
      <c r="AH116" s="19">
        <f t="shared" ref="AH116:AH132" si="1005">0.5*(AC116+AD116)</f>
        <v>0.97499999999999998</v>
      </c>
      <c r="AI116" s="19">
        <f t="shared" ref="AI116:AI132" si="1006">0.5*(AD116+AE116)</f>
        <v>0.99</v>
      </c>
      <c r="AJ116" s="19">
        <f t="shared" ref="AJ116:AJ132" si="1007">0.5*(AE116+X116)</f>
        <v>0.98</v>
      </c>
      <c r="AK116" s="19">
        <f t="shared" ref="AK116:AK132" si="1008">0.5*(X116+Y116)</f>
        <v>0.97</v>
      </c>
      <c r="AL116" s="19">
        <f t="shared" ref="AL116:AL132" si="1009">0.5*(Y116+Z116)</f>
        <v>0.98499999999999999</v>
      </c>
      <c r="AM116" s="19">
        <f t="shared" ref="AM116:AM132" si="1010">0.5*(Z116+AA116)</f>
        <v>1</v>
      </c>
      <c r="AN116" s="19">
        <f t="shared" ref="AN116:AN132" si="1011">0.5*(AA116+AF116)</f>
        <v>0.98499999999999999</v>
      </c>
    </row>
    <row r="117" spans="2:40">
      <c r="B117" s="27">
        <f>0.5*(B116+B118)</f>
        <v>15</v>
      </c>
      <c r="C117" s="12"/>
      <c r="D117" s="12">
        <f t="shared" ref="D117" si="1012">0.5*(D116+D118)</f>
        <v>0.96</v>
      </c>
      <c r="E117" s="12">
        <f t="shared" ref="E117" si="1013">0.5*(E116+E118)</f>
        <v>0.99</v>
      </c>
      <c r="F117" s="12">
        <f t="shared" ref="F117" si="1014">0.5*(F116+F118)</f>
        <v>1</v>
      </c>
      <c r="G117" s="12">
        <f t="shared" ref="G117" si="1015">0.5*(G116+G118)</f>
        <v>1</v>
      </c>
      <c r="H117" s="12">
        <f t="shared" ref="H117" si="1016">0.5*(H116+H118)</f>
        <v>1</v>
      </c>
      <c r="I117" s="12">
        <f t="shared" ref="I117" si="1017">0.5*(I116+I118)</f>
        <v>0.93500000000000005</v>
      </c>
      <c r="J117" s="12">
        <f t="shared" ref="J117" si="1018">0.5*(J116+J118)</f>
        <v>0.92500000000000004</v>
      </c>
      <c r="K117" s="12">
        <f t="shared" ref="K117" si="1019">0.5*(K116+K118)</f>
        <v>0.95</v>
      </c>
      <c r="L117" s="12">
        <f t="shared" ref="L117" si="1020">0.5*(L116+L118)</f>
        <v>1</v>
      </c>
      <c r="M117" s="12">
        <f t="shared" ref="M117" si="1021">0.5*(M116+M118)</f>
        <v>0.96750000000000003</v>
      </c>
      <c r="N117" s="12">
        <f t="shared" ref="N117" si="1022">0.5*(N116+N118)</f>
        <v>0.92999999999999994</v>
      </c>
      <c r="O117" s="12">
        <f t="shared" ref="O117" si="1023">0.5*(O116+O118)</f>
        <v>0.9375</v>
      </c>
      <c r="P117" s="12">
        <f t="shared" ref="P117" si="1024">0.5*(P116+P118)</f>
        <v>0.95499999999999996</v>
      </c>
      <c r="Q117" s="12">
        <f t="shared" ref="Q117" si="1025">0.5*(Q116+Q118)</f>
        <v>0.97499999999999998</v>
      </c>
      <c r="R117" s="12">
        <f t="shared" ref="R117" si="1026">0.5*(R116+R118)</f>
        <v>0.995</v>
      </c>
      <c r="S117" s="12">
        <f t="shared" ref="S117" si="1027">0.5*(S116+S118)</f>
        <v>1</v>
      </c>
      <c r="T117" s="13">
        <f t="shared" ref="T117" si="1028">0.5*(T116+T118)</f>
        <v>1</v>
      </c>
      <c r="U117" s="28"/>
      <c r="V117" s="29">
        <f t="shared" ref="V117" si="1029">0.5*(V116+V118)</f>
        <v>15</v>
      </c>
      <c r="W117" s="12"/>
      <c r="X117" s="12">
        <f t="shared" ref="X117" si="1030">0.5*(X116+X118)</f>
        <v>0.96</v>
      </c>
      <c r="Y117" s="12">
        <f t="shared" ref="Y117" si="1031">0.5*(Y116+Y118)</f>
        <v>0.95499999999999996</v>
      </c>
      <c r="Z117" s="12">
        <f t="shared" ref="Z117" si="1032">0.5*(Z116+Z118)</f>
        <v>0.995</v>
      </c>
      <c r="AA117" s="12">
        <f t="shared" ref="AA117" si="1033">0.5*(AA116+AA118)</f>
        <v>1</v>
      </c>
      <c r="AB117" s="12">
        <f t="shared" ref="AB117" si="1034">0.5*(AB116+AB118)</f>
        <v>0.96</v>
      </c>
      <c r="AC117" s="12">
        <f t="shared" ref="AC117" si="1035">0.5*(AC116+AC118)</f>
        <v>0.94500000000000006</v>
      </c>
      <c r="AD117" s="12">
        <f t="shared" ref="AD117" si="1036">0.5*(AD116+AD118)</f>
        <v>0.98499999999999999</v>
      </c>
      <c r="AE117" s="12">
        <f t="shared" ref="AE117" si="1037">0.5*(AE116+AE118)</f>
        <v>0.99</v>
      </c>
      <c r="AF117" s="12">
        <f t="shared" ref="AF117" si="1038">0.5*(AF116+AF118)</f>
        <v>0.96</v>
      </c>
      <c r="AG117" s="12">
        <f t="shared" ref="AG117" si="1039">0.5*(AG116+AG118)</f>
        <v>0.9524999999999999</v>
      </c>
      <c r="AH117" s="12">
        <f t="shared" ref="AH117" si="1040">0.5*(AH116+AH118)</f>
        <v>0.96500000000000008</v>
      </c>
      <c r="AI117" s="12">
        <f t="shared" ref="AI117" si="1041">0.5*(AI116+AI118)</f>
        <v>0.98750000000000004</v>
      </c>
      <c r="AJ117" s="12">
        <f t="shared" ref="AJ117" si="1042">0.5*(AJ116+AJ118)</f>
        <v>0.97499999999999998</v>
      </c>
      <c r="AK117" s="12">
        <f t="shared" ref="AK117" si="1043">0.5*(AK116+AK118)</f>
        <v>0.95750000000000002</v>
      </c>
      <c r="AL117" s="12">
        <f t="shared" ref="AL117" si="1044">0.5*(AL116+AL118)</f>
        <v>0.97499999999999998</v>
      </c>
      <c r="AM117" s="12">
        <f t="shared" ref="AM117" si="1045">0.5*(AM116+AM118)</f>
        <v>0.99750000000000005</v>
      </c>
      <c r="AN117" s="12">
        <f t="shared" ref="AN117" si="1046">0.5*(AN116+AN118)</f>
        <v>0.98</v>
      </c>
    </row>
    <row r="118" spans="2:40">
      <c r="B118" s="25">
        <v>20</v>
      </c>
      <c r="C118" s="18" t="s">
        <v>35</v>
      </c>
      <c r="D118" s="19" t="s">
        <v>41</v>
      </c>
      <c r="E118" s="19" t="s">
        <v>64</v>
      </c>
      <c r="F118" s="19" t="s">
        <v>36</v>
      </c>
      <c r="G118" s="19" t="s">
        <v>36</v>
      </c>
      <c r="H118" s="19" t="s">
        <v>36</v>
      </c>
      <c r="I118" s="19" t="s">
        <v>44</v>
      </c>
      <c r="J118" s="19" t="s">
        <v>48</v>
      </c>
      <c r="K118" s="19" t="s">
        <v>42</v>
      </c>
      <c r="L118" s="19" t="str">
        <f t="shared" si="994"/>
        <v>1,00</v>
      </c>
      <c r="M118" s="19">
        <f t="shared" si="995"/>
        <v>0.96</v>
      </c>
      <c r="N118" s="19">
        <f t="shared" si="996"/>
        <v>0.91</v>
      </c>
      <c r="O118" s="19">
        <f t="shared" si="997"/>
        <v>0.91500000000000004</v>
      </c>
      <c r="P118" s="19">
        <f t="shared" si="998"/>
        <v>0.94</v>
      </c>
      <c r="Q118" s="19">
        <f t="shared" si="999"/>
        <v>0.97</v>
      </c>
      <c r="R118" s="19">
        <f t="shared" si="1000"/>
        <v>0.995</v>
      </c>
      <c r="S118" s="19">
        <f t="shared" si="1001"/>
        <v>1</v>
      </c>
      <c r="T118" s="19">
        <f t="shared" si="1002"/>
        <v>1</v>
      </c>
      <c r="V118" s="26">
        <v>20</v>
      </c>
      <c r="W118" s="18" t="s">
        <v>37</v>
      </c>
      <c r="X118" s="19" t="s">
        <v>41</v>
      </c>
      <c r="Y118" s="19" t="s">
        <v>43</v>
      </c>
      <c r="Z118" s="19" t="s">
        <v>64</v>
      </c>
      <c r="AA118" s="19" t="s">
        <v>36</v>
      </c>
      <c r="AB118" s="19" t="s">
        <v>41</v>
      </c>
      <c r="AC118" s="19" t="s">
        <v>42</v>
      </c>
      <c r="AD118" s="19" t="s">
        <v>38</v>
      </c>
      <c r="AE118" s="19" t="s">
        <v>64</v>
      </c>
      <c r="AF118" s="19" t="str">
        <f t="shared" si="1003"/>
        <v>0,95</v>
      </c>
      <c r="AG118" s="19">
        <f t="shared" si="1004"/>
        <v>0.94</v>
      </c>
      <c r="AH118" s="19">
        <f t="shared" si="1005"/>
        <v>0.95500000000000007</v>
      </c>
      <c r="AI118" s="19">
        <f t="shared" si="1006"/>
        <v>0.98499999999999999</v>
      </c>
      <c r="AJ118" s="19">
        <f t="shared" si="1007"/>
        <v>0.97</v>
      </c>
      <c r="AK118" s="19">
        <f t="shared" si="1008"/>
        <v>0.94499999999999995</v>
      </c>
      <c r="AL118" s="19">
        <f t="shared" si="1009"/>
        <v>0.96499999999999997</v>
      </c>
      <c r="AM118" s="19">
        <f t="shared" si="1010"/>
        <v>0.995</v>
      </c>
      <c r="AN118" s="19">
        <f t="shared" si="1011"/>
        <v>0.97499999999999998</v>
      </c>
    </row>
    <row r="119" spans="2:40">
      <c r="B119" s="27">
        <f>0.5*(B118+B120)</f>
        <v>25</v>
      </c>
      <c r="C119" s="12"/>
      <c r="D119" s="12">
        <f t="shared" ref="D119" si="1047">0.5*(D118+D120)</f>
        <v>0.93500000000000005</v>
      </c>
      <c r="E119" s="12">
        <f t="shared" ref="E119" si="1048">0.5*(E118+E120)</f>
        <v>0.98499999999999999</v>
      </c>
      <c r="F119" s="12">
        <f t="shared" ref="F119" si="1049">0.5*(F118+F120)</f>
        <v>1</v>
      </c>
      <c r="G119" s="12">
        <f t="shared" ref="G119" si="1050">0.5*(G118+G120)</f>
        <v>1</v>
      </c>
      <c r="H119" s="12">
        <f t="shared" ref="H119" si="1051">0.5*(H118+H120)</f>
        <v>1</v>
      </c>
      <c r="I119" s="12">
        <f t="shared" ref="I119" si="1052">0.5*(I118+I120)</f>
        <v>0.90500000000000003</v>
      </c>
      <c r="J119" s="12">
        <f t="shared" ref="J119" si="1053">0.5*(J118+J120)</f>
        <v>0.88</v>
      </c>
      <c r="K119" s="12">
        <f t="shared" ref="K119" si="1054">0.5*(K118+K120)</f>
        <v>0.91500000000000004</v>
      </c>
      <c r="L119" s="12">
        <f t="shared" ref="L119" si="1055">0.5*(L118+L120)</f>
        <v>1</v>
      </c>
      <c r="M119" s="12">
        <f t="shared" ref="M119" si="1056">0.5*(M118+M120)</f>
        <v>0.95250000000000001</v>
      </c>
      <c r="N119" s="12">
        <f t="shared" ref="N119" si="1057">0.5*(N118+N120)</f>
        <v>0.89250000000000007</v>
      </c>
      <c r="O119" s="12">
        <f t="shared" ref="O119" si="1058">0.5*(O118+O120)</f>
        <v>0.89749999999999996</v>
      </c>
      <c r="P119" s="12">
        <f t="shared" ref="P119" si="1059">0.5*(P118+P120)</f>
        <v>0.92500000000000004</v>
      </c>
      <c r="Q119" s="12">
        <f t="shared" ref="Q119" si="1060">0.5*(Q118+Q120)</f>
        <v>0.96</v>
      </c>
      <c r="R119" s="12">
        <f t="shared" ref="R119" si="1061">0.5*(R118+R120)</f>
        <v>0.99249999999999994</v>
      </c>
      <c r="S119" s="12">
        <f t="shared" ref="S119" si="1062">0.5*(S118+S120)</f>
        <v>1</v>
      </c>
      <c r="T119" s="13">
        <f t="shared" ref="T119" si="1063">0.5*(T118+T120)</f>
        <v>1</v>
      </c>
      <c r="U119" s="28"/>
      <c r="V119" s="29">
        <f t="shared" ref="V119" si="1064">0.5*(V118+V120)</f>
        <v>25</v>
      </c>
      <c r="W119" s="12"/>
      <c r="X119" s="12">
        <f t="shared" ref="X119" si="1065">0.5*(X118+X120)</f>
        <v>0.94</v>
      </c>
      <c r="Y119" s="12">
        <f t="shared" ref="Y119" si="1066">0.5*(Y118+Y120)</f>
        <v>0.91999999999999993</v>
      </c>
      <c r="Z119" s="12">
        <f t="shared" ref="Z119" si="1067">0.5*(Z118+Z120)</f>
        <v>0.99</v>
      </c>
      <c r="AA119" s="12">
        <f t="shared" ref="AA119" si="1068">0.5*(AA118+AA120)</f>
        <v>1</v>
      </c>
      <c r="AB119" s="12">
        <f t="shared" ref="AB119" si="1069">0.5*(AB118+AB120)</f>
        <v>0.94</v>
      </c>
      <c r="AC119" s="12">
        <f t="shared" ref="AC119" si="1070">0.5*(AC118+AC120)</f>
        <v>0.91</v>
      </c>
      <c r="AD119" s="12">
        <f t="shared" ref="AD119" si="1071">0.5*(AD118+AD120)</f>
        <v>0.97</v>
      </c>
      <c r="AE119" s="12">
        <f t="shared" ref="AE119" si="1072">0.5*(AE118+AE120)</f>
        <v>0.98499999999999999</v>
      </c>
      <c r="AF119" s="12">
        <f t="shared" ref="AF119" si="1073">0.5*(AF118+AF120)</f>
        <v>0.94</v>
      </c>
      <c r="AG119" s="12">
        <f t="shared" ref="AG119" si="1074">0.5*(AG118+AG120)</f>
        <v>0.92500000000000004</v>
      </c>
      <c r="AH119" s="12">
        <f t="shared" ref="AH119" si="1075">0.5*(AH118+AH120)</f>
        <v>0.94000000000000006</v>
      </c>
      <c r="AI119" s="12">
        <f t="shared" ref="AI119" si="1076">0.5*(AI118+AI120)</f>
        <v>0.97750000000000004</v>
      </c>
      <c r="AJ119" s="12">
        <f t="shared" ref="AJ119" si="1077">0.5*(AJ118+AJ120)</f>
        <v>0.96250000000000002</v>
      </c>
      <c r="AK119" s="12">
        <f t="shared" ref="AK119" si="1078">0.5*(AK118+AK120)</f>
        <v>0.92999999999999994</v>
      </c>
      <c r="AL119" s="12">
        <f t="shared" ref="AL119" si="1079">0.5*(AL118+AL120)</f>
        <v>0.95500000000000007</v>
      </c>
      <c r="AM119" s="12">
        <f t="shared" ref="AM119" si="1080">0.5*(AM118+AM120)</f>
        <v>0.995</v>
      </c>
      <c r="AN119" s="12">
        <f t="shared" ref="AN119" si="1081">0.5*(AN118+AN120)</f>
        <v>0.97</v>
      </c>
    </row>
    <row r="120" spans="2:40">
      <c r="B120" s="25">
        <v>30</v>
      </c>
      <c r="C120" s="18" t="s">
        <v>35</v>
      </c>
      <c r="D120" s="19" t="s">
        <v>44</v>
      </c>
      <c r="E120" s="19" t="s">
        <v>38</v>
      </c>
      <c r="F120" s="19" t="s">
        <v>36</v>
      </c>
      <c r="G120" s="19" t="s">
        <v>36</v>
      </c>
      <c r="H120" s="19" t="s">
        <v>36</v>
      </c>
      <c r="I120" s="19" t="s">
        <v>46</v>
      </c>
      <c r="J120" s="19" t="s">
        <v>47</v>
      </c>
      <c r="K120" s="19" t="s">
        <v>48</v>
      </c>
      <c r="L120" s="19" t="str">
        <f t="shared" si="994"/>
        <v>1,00</v>
      </c>
      <c r="M120" s="19">
        <f t="shared" si="995"/>
        <v>0.94500000000000006</v>
      </c>
      <c r="N120" s="19">
        <f t="shared" si="996"/>
        <v>0.875</v>
      </c>
      <c r="O120" s="19">
        <f t="shared" si="997"/>
        <v>0.88</v>
      </c>
      <c r="P120" s="19">
        <f t="shared" si="998"/>
        <v>0.91</v>
      </c>
      <c r="Q120" s="19">
        <f t="shared" si="999"/>
        <v>0.95</v>
      </c>
      <c r="R120" s="19">
        <f t="shared" si="1000"/>
        <v>0.99</v>
      </c>
      <c r="S120" s="19">
        <f t="shared" si="1001"/>
        <v>1</v>
      </c>
      <c r="T120" s="19">
        <f t="shared" si="1002"/>
        <v>1</v>
      </c>
      <c r="V120" s="26">
        <v>30</v>
      </c>
      <c r="W120" s="18" t="s">
        <v>37</v>
      </c>
      <c r="X120" s="19" t="s">
        <v>42</v>
      </c>
      <c r="Y120" s="19" t="s">
        <v>48</v>
      </c>
      <c r="Z120" s="19" t="s">
        <v>64</v>
      </c>
      <c r="AA120" s="19" t="s">
        <v>36</v>
      </c>
      <c r="AB120" s="19" t="s">
        <v>42</v>
      </c>
      <c r="AC120" s="19" t="s">
        <v>46</v>
      </c>
      <c r="AD120" s="19" t="s">
        <v>40</v>
      </c>
      <c r="AE120" s="19" t="s">
        <v>38</v>
      </c>
      <c r="AF120" s="19" t="str">
        <f t="shared" si="1003"/>
        <v>0,93</v>
      </c>
      <c r="AG120" s="19">
        <f t="shared" si="1004"/>
        <v>0.91</v>
      </c>
      <c r="AH120" s="19">
        <f t="shared" si="1005"/>
        <v>0.92500000000000004</v>
      </c>
      <c r="AI120" s="19">
        <f t="shared" si="1006"/>
        <v>0.97</v>
      </c>
      <c r="AJ120" s="19">
        <f t="shared" si="1007"/>
        <v>0.95500000000000007</v>
      </c>
      <c r="AK120" s="19">
        <f t="shared" si="1008"/>
        <v>0.91500000000000004</v>
      </c>
      <c r="AL120" s="19">
        <f t="shared" si="1009"/>
        <v>0.94500000000000006</v>
      </c>
      <c r="AM120" s="19">
        <f t="shared" si="1010"/>
        <v>0.995</v>
      </c>
      <c r="AN120" s="19">
        <f t="shared" si="1011"/>
        <v>0.96500000000000008</v>
      </c>
    </row>
    <row r="121" spans="2:40">
      <c r="B121" s="27">
        <f>0.5*(B120+B122)</f>
        <v>35</v>
      </c>
      <c r="C121" s="12"/>
      <c r="D121" s="12">
        <f t="shared" ref="D121" si="1082">0.5*(D120+D122)</f>
        <v>0.90500000000000003</v>
      </c>
      <c r="E121" s="12">
        <f t="shared" ref="E121" si="1083">0.5*(E120+E122)</f>
        <v>0.97499999999999998</v>
      </c>
      <c r="F121" s="12">
        <f t="shared" ref="F121" si="1084">0.5*(F120+F122)</f>
        <v>1</v>
      </c>
      <c r="G121" s="12">
        <f t="shared" ref="G121" si="1085">0.5*(G120+G122)</f>
        <v>1</v>
      </c>
      <c r="H121" s="12">
        <f t="shared" ref="H121" si="1086">0.5*(H120+H122)</f>
        <v>1</v>
      </c>
      <c r="I121" s="12">
        <f t="shared" ref="I121" si="1087">0.5*(I120+I122)</f>
        <v>0.875</v>
      </c>
      <c r="J121" s="12">
        <f t="shared" ref="J121" si="1088">0.5*(J120+J122)</f>
        <v>0.83000000000000007</v>
      </c>
      <c r="K121" s="12">
        <f t="shared" ref="K121" si="1089">0.5*(K120+K122)</f>
        <v>0.88500000000000001</v>
      </c>
      <c r="L121" s="12">
        <f t="shared" ref="L121" si="1090">0.5*(L120+L122)</f>
        <v>1</v>
      </c>
      <c r="M121" s="12">
        <f t="shared" ref="M121" si="1091">0.5*(M120+M122)</f>
        <v>0.9375</v>
      </c>
      <c r="N121" s="12">
        <f t="shared" ref="N121" si="1092">0.5*(N120+N122)</f>
        <v>0.85250000000000004</v>
      </c>
      <c r="O121" s="12">
        <f t="shared" ref="O121" si="1093">0.5*(O120+O122)</f>
        <v>0.85749999999999993</v>
      </c>
      <c r="P121" s="12">
        <f t="shared" ref="P121" si="1094">0.5*(P120+P122)</f>
        <v>0.89500000000000002</v>
      </c>
      <c r="Q121" s="12">
        <f t="shared" ref="Q121" si="1095">0.5*(Q120+Q122)</f>
        <v>0.94</v>
      </c>
      <c r="R121" s="12">
        <f t="shared" ref="R121" si="1096">0.5*(R120+R122)</f>
        <v>0.98750000000000004</v>
      </c>
      <c r="S121" s="12">
        <f t="shared" ref="S121" si="1097">0.5*(S120+S122)</f>
        <v>1</v>
      </c>
      <c r="T121" s="13">
        <f t="shared" ref="T121" si="1098">0.5*(T120+T122)</f>
        <v>1</v>
      </c>
      <c r="U121" s="28"/>
      <c r="V121" s="29">
        <f t="shared" ref="V121" si="1099">0.5*(V120+V122)</f>
        <v>35</v>
      </c>
      <c r="W121" s="12"/>
      <c r="X121" s="12">
        <f t="shared" ref="X121" si="1100">0.5*(X120+X122)</f>
        <v>0.92</v>
      </c>
      <c r="Y121" s="12">
        <f t="shared" ref="Y121" si="1101">0.5*(Y120+Y122)</f>
        <v>0.88</v>
      </c>
      <c r="Z121" s="12">
        <f t="shared" ref="Z121" si="1102">0.5*(Z120+Z122)</f>
        <v>0.98499999999999999</v>
      </c>
      <c r="AA121" s="12">
        <f t="shared" ref="AA121" si="1103">0.5*(AA120+AA122)</f>
        <v>1</v>
      </c>
      <c r="AB121" s="12">
        <f t="shared" ref="AB121" si="1104">0.5*(AB120+AB122)</f>
        <v>0.92500000000000004</v>
      </c>
      <c r="AC121" s="12">
        <f t="shared" ref="AC121" si="1105">0.5*(AC120+AC122)</f>
        <v>0.86499999999999999</v>
      </c>
      <c r="AD121" s="12">
        <f t="shared" ref="AD121" si="1106">0.5*(AD120+AD122)</f>
        <v>0.95499999999999996</v>
      </c>
      <c r="AE121" s="12">
        <f t="shared" ref="AE121" si="1107">0.5*(AE120+AE122)</f>
        <v>0.97499999999999998</v>
      </c>
      <c r="AF121" s="12">
        <f t="shared" ref="AF121" si="1108">0.5*(AF120+AF122)</f>
        <v>0.92500000000000004</v>
      </c>
      <c r="AG121" s="12">
        <f t="shared" ref="AG121" si="1109">0.5*(AG120+AG122)</f>
        <v>0.89500000000000002</v>
      </c>
      <c r="AH121" s="12">
        <f t="shared" ref="AH121" si="1110">0.5*(AH120+AH122)</f>
        <v>0.91</v>
      </c>
      <c r="AI121" s="12">
        <f t="shared" ref="AI121" si="1111">0.5*(AI120+AI122)</f>
        <v>0.96499999999999997</v>
      </c>
      <c r="AJ121" s="12">
        <f t="shared" ref="AJ121" si="1112">0.5*(AJ120+AJ122)</f>
        <v>0.94750000000000001</v>
      </c>
      <c r="AK121" s="12">
        <f t="shared" ref="AK121" si="1113">0.5*(AK120+AK122)</f>
        <v>0.9</v>
      </c>
      <c r="AL121" s="12">
        <f t="shared" ref="AL121" si="1114">0.5*(AL120+AL122)</f>
        <v>0.9325</v>
      </c>
      <c r="AM121" s="12">
        <f t="shared" ref="AM121" si="1115">0.5*(AM120+AM122)</f>
        <v>0.99249999999999994</v>
      </c>
      <c r="AN121" s="12">
        <f t="shared" ref="AN121" si="1116">0.5*(AN120+AN122)</f>
        <v>0.96250000000000002</v>
      </c>
    </row>
    <row r="122" spans="2:40">
      <c r="B122" s="25">
        <v>40</v>
      </c>
      <c r="C122" s="18" t="s">
        <v>35</v>
      </c>
      <c r="D122" s="19" t="s">
        <v>46</v>
      </c>
      <c r="E122" s="19" t="s">
        <v>39</v>
      </c>
      <c r="F122" s="19" t="s">
        <v>36</v>
      </c>
      <c r="G122" s="19" t="s">
        <v>36</v>
      </c>
      <c r="H122" s="19" t="s">
        <v>36</v>
      </c>
      <c r="I122" s="19" t="s">
        <v>47</v>
      </c>
      <c r="J122" s="19" t="s">
        <v>51</v>
      </c>
      <c r="K122" s="19" t="s">
        <v>52</v>
      </c>
      <c r="L122" s="19" t="str">
        <f t="shared" si="994"/>
        <v>1,00</v>
      </c>
      <c r="M122" s="19">
        <f t="shared" si="995"/>
        <v>0.92999999999999994</v>
      </c>
      <c r="N122" s="19">
        <f t="shared" si="996"/>
        <v>0.83000000000000007</v>
      </c>
      <c r="O122" s="19">
        <f t="shared" si="997"/>
        <v>0.83499999999999996</v>
      </c>
      <c r="P122" s="19">
        <f t="shared" si="998"/>
        <v>0.88</v>
      </c>
      <c r="Q122" s="19">
        <f t="shared" si="999"/>
        <v>0.92999999999999994</v>
      </c>
      <c r="R122" s="19">
        <f t="shared" si="1000"/>
        <v>0.98499999999999999</v>
      </c>
      <c r="S122" s="19">
        <f t="shared" si="1001"/>
        <v>1</v>
      </c>
      <c r="T122" s="19">
        <f t="shared" si="1002"/>
        <v>1</v>
      </c>
      <c r="V122" s="26">
        <v>40</v>
      </c>
      <c r="W122" s="18" t="s">
        <v>37</v>
      </c>
      <c r="X122" s="19" t="s">
        <v>45</v>
      </c>
      <c r="Y122" s="19" t="s">
        <v>47</v>
      </c>
      <c r="Z122" s="19" t="s">
        <v>38</v>
      </c>
      <c r="AA122" s="19" t="s">
        <v>36</v>
      </c>
      <c r="AB122" s="19" t="s">
        <v>44</v>
      </c>
      <c r="AC122" s="19" t="s">
        <v>50</v>
      </c>
      <c r="AD122" s="19" t="s">
        <v>41</v>
      </c>
      <c r="AE122" s="19" t="s">
        <v>39</v>
      </c>
      <c r="AF122" s="19" t="str">
        <f t="shared" si="1003"/>
        <v>0,92</v>
      </c>
      <c r="AG122" s="19">
        <f t="shared" si="1004"/>
        <v>0.88</v>
      </c>
      <c r="AH122" s="19">
        <f t="shared" si="1005"/>
        <v>0.89500000000000002</v>
      </c>
      <c r="AI122" s="19">
        <f t="shared" si="1006"/>
        <v>0.96</v>
      </c>
      <c r="AJ122" s="19">
        <f t="shared" si="1007"/>
        <v>0.94</v>
      </c>
      <c r="AK122" s="19">
        <f t="shared" si="1008"/>
        <v>0.88500000000000001</v>
      </c>
      <c r="AL122" s="19">
        <f t="shared" si="1009"/>
        <v>0.91999999999999993</v>
      </c>
      <c r="AM122" s="19">
        <f t="shared" si="1010"/>
        <v>0.99</v>
      </c>
      <c r="AN122" s="19">
        <f t="shared" si="1011"/>
        <v>0.96</v>
      </c>
    </row>
    <row r="123" spans="2:40">
      <c r="B123" s="27">
        <f>0.5*(B122+B124)</f>
        <v>45</v>
      </c>
      <c r="C123" s="12"/>
      <c r="D123" s="12">
        <f t="shared" ref="D123" si="1117">0.5*(D122+D124)</f>
        <v>0.87</v>
      </c>
      <c r="E123" s="12">
        <f t="shared" ref="E123" si="1118">0.5*(E122+E124)</f>
        <v>0.96</v>
      </c>
      <c r="F123" s="12">
        <f t="shared" ref="F123" si="1119">0.5*(F122+F124)</f>
        <v>1</v>
      </c>
      <c r="G123" s="12">
        <f t="shared" ref="G123" si="1120">0.5*(G122+G124)</f>
        <v>1</v>
      </c>
      <c r="H123" s="12">
        <f t="shared" ref="H123" si="1121">0.5*(H122+H124)</f>
        <v>1</v>
      </c>
      <c r="I123" s="12">
        <f t="shared" ref="I123" si="1122">0.5*(I122+I124)</f>
        <v>0.85</v>
      </c>
      <c r="J123" s="12">
        <f t="shared" ref="J123" si="1123">0.5*(J122+J124)</f>
        <v>0.77500000000000002</v>
      </c>
      <c r="K123" s="12">
        <f t="shared" ref="K123" si="1124">0.5*(K122+K124)</f>
        <v>0.85</v>
      </c>
      <c r="L123" s="12">
        <f t="shared" ref="L123" si="1125">0.5*(L122+L124)</f>
        <v>1</v>
      </c>
      <c r="M123" s="12">
        <f t="shared" ref="M123" si="1126">0.5*(M122+M124)</f>
        <v>0.92499999999999993</v>
      </c>
      <c r="N123" s="12">
        <f t="shared" ref="N123" si="1127">0.5*(N122+N124)</f>
        <v>0.8125</v>
      </c>
      <c r="O123" s="12">
        <f t="shared" ref="O123" si="1128">0.5*(O122+O124)</f>
        <v>0.8125</v>
      </c>
      <c r="P123" s="12">
        <f t="shared" ref="P123" si="1129">0.5*(P122+P124)</f>
        <v>0.86</v>
      </c>
      <c r="Q123" s="12">
        <f t="shared" ref="Q123" si="1130">0.5*(Q122+Q124)</f>
        <v>0.91499999999999992</v>
      </c>
      <c r="R123" s="12">
        <f t="shared" ref="R123" si="1131">0.5*(R122+R124)</f>
        <v>0.98</v>
      </c>
      <c r="S123" s="12">
        <f t="shared" ref="S123" si="1132">0.5*(S122+S124)</f>
        <v>1</v>
      </c>
      <c r="T123" s="13">
        <f t="shared" ref="T123" si="1133">0.5*(T122+T124)</f>
        <v>1</v>
      </c>
      <c r="U123" s="28"/>
      <c r="V123" s="29">
        <f t="shared" ref="V123" si="1134">0.5*(V122+V124)</f>
        <v>45</v>
      </c>
      <c r="W123" s="12"/>
      <c r="X123" s="12">
        <f t="shared" ref="X123" si="1135">0.5*(X122+X124)</f>
        <v>0.9</v>
      </c>
      <c r="Y123" s="12">
        <f t="shared" ref="Y123" si="1136">0.5*(Y122+Y124)</f>
        <v>0.83499999999999996</v>
      </c>
      <c r="Z123" s="12">
        <f t="shared" ref="Z123" si="1137">0.5*(Z122+Z124)</f>
        <v>0.97499999999999998</v>
      </c>
      <c r="AA123" s="12">
        <f t="shared" ref="AA123" si="1138">0.5*(AA122+AA124)</f>
        <v>1</v>
      </c>
      <c r="AB123" s="12">
        <f t="shared" ref="AB123" si="1139">0.5*(AB122+AB124)</f>
        <v>0.92</v>
      </c>
      <c r="AC123" s="12">
        <f t="shared" ref="AC123" si="1140">0.5*(AC122+AC124)</f>
        <v>0.81499999999999995</v>
      </c>
      <c r="AD123" s="12">
        <f t="shared" ref="AD123" si="1141">0.5*(AD122+AD124)</f>
        <v>0.94</v>
      </c>
      <c r="AE123" s="12">
        <f t="shared" ref="AE123" si="1142">0.5*(AE122+AE124)</f>
        <v>0.96499999999999997</v>
      </c>
      <c r="AF123" s="12">
        <f t="shared" ref="AF123" si="1143">0.5*(AF122+AF124)</f>
        <v>0.92</v>
      </c>
      <c r="AG123" s="12">
        <f t="shared" ref="AG123" si="1144">0.5*(AG122+AG124)</f>
        <v>0.86749999999999994</v>
      </c>
      <c r="AH123" s="12">
        <f t="shared" ref="AH123" si="1145">0.5*(AH122+AH124)</f>
        <v>0.87750000000000006</v>
      </c>
      <c r="AI123" s="12">
        <f t="shared" ref="AI123" si="1146">0.5*(AI122+AI124)</f>
        <v>0.95250000000000001</v>
      </c>
      <c r="AJ123" s="12">
        <f t="shared" ref="AJ123" si="1147">0.5*(AJ122+AJ124)</f>
        <v>0.9325</v>
      </c>
      <c r="AK123" s="12">
        <f t="shared" ref="AK123" si="1148">0.5*(AK122+AK124)</f>
        <v>0.86750000000000005</v>
      </c>
      <c r="AL123" s="12">
        <f t="shared" ref="AL123" si="1149">0.5*(AL122+AL124)</f>
        <v>0.90500000000000003</v>
      </c>
      <c r="AM123" s="12">
        <f t="shared" ref="AM123" si="1150">0.5*(AM122+AM124)</f>
        <v>0.98750000000000004</v>
      </c>
      <c r="AN123" s="12">
        <f t="shared" ref="AN123" si="1151">0.5*(AN122+AN124)</f>
        <v>0.96</v>
      </c>
    </row>
    <row r="124" spans="2:40">
      <c r="B124" s="25">
        <v>50</v>
      </c>
      <c r="C124" s="18" t="s">
        <v>35</v>
      </c>
      <c r="D124" s="19" t="s">
        <v>60</v>
      </c>
      <c r="E124" s="19" t="s">
        <v>41</v>
      </c>
      <c r="F124" s="19" t="s">
        <v>36</v>
      </c>
      <c r="G124" s="19" t="s">
        <v>36</v>
      </c>
      <c r="H124" s="19" t="s">
        <v>36</v>
      </c>
      <c r="I124" s="19" t="s">
        <v>50</v>
      </c>
      <c r="J124" s="19" t="s">
        <v>93</v>
      </c>
      <c r="K124" s="19" t="s">
        <v>55</v>
      </c>
      <c r="L124" s="19" t="str">
        <f t="shared" si="994"/>
        <v>1,00</v>
      </c>
      <c r="M124" s="19">
        <f t="shared" si="995"/>
        <v>0.91999999999999993</v>
      </c>
      <c r="N124" s="19">
        <f t="shared" si="996"/>
        <v>0.79499999999999993</v>
      </c>
      <c r="O124" s="19">
        <f t="shared" si="997"/>
        <v>0.79</v>
      </c>
      <c r="P124" s="19">
        <f t="shared" si="998"/>
        <v>0.84</v>
      </c>
      <c r="Q124" s="19">
        <f t="shared" si="999"/>
        <v>0.89999999999999991</v>
      </c>
      <c r="R124" s="19">
        <f t="shared" si="1000"/>
        <v>0.97499999999999998</v>
      </c>
      <c r="S124" s="19">
        <f t="shared" si="1001"/>
        <v>1</v>
      </c>
      <c r="T124" s="19">
        <f t="shared" si="1002"/>
        <v>1</v>
      </c>
      <c r="V124" s="26">
        <v>50</v>
      </c>
      <c r="W124" s="18" t="s">
        <v>37</v>
      </c>
      <c r="X124" s="19" t="s">
        <v>46</v>
      </c>
      <c r="Y124" s="19" t="s">
        <v>61</v>
      </c>
      <c r="Z124" s="19" t="s">
        <v>39</v>
      </c>
      <c r="AA124" s="19" t="s">
        <v>36</v>
      </c>
      <c r="AB124" s="19" t="s">
        <v>44</v>
      </c>
      <c r="AC124" s="19" t="s">
        <v>86</v>
      </c>
      <c r="AD124" s="19" t="s">
        <v>42</v>
      </c>
      <c r="AE124" s="19" t="s">
        <v>40</v>
      </c>
      <c r="AF124" s="19" t="str">
        <f t="shared" si="1003"/>
        <v>0,92</v>
      </c>
      <c r="AG124" s="19">
        <f t="shared" si="1004"/>
        <v>0.85499999999999998</v>
      </c>
      <c r="AH124" s="19">
        <f t="shared" si="1005"/>
        <v>0.8600000000000001</v>
      </c>
      <c r="AI124" s="19">
        <f t="shared" si="1006"/>
        <v>0.94500000000000006</v>
      </c>
      <c r="AJ124" s="19">
        <f t="shared" si="1007"/>
        <v>0.92500000000000004</v>
      </c>
      <c r="AK124" s="19">
        <f t="shared" si="1008"/>
        <v>0.85000000000000009</v>
      </c>
      <c r="AL124" s="19">
        <f t="shared" si="1009"/>
        <v>0.89</v>
      </c>
      <c r="AM124" s="19">
        <f t="shared" si="1010"/>
        <v>0.98499999999999999</v>
      </c>
      <c r="AN124" s="19">
        <f t="shared" si="1011"/>
        <v>0.96</v>
      </c>
    </row>
    <row r="125" spans="2:40">
      <c r="B125" s="27">
        <f>0.5*(B124+B126)</f>
        <v>55</v>
      </c>
      <c r="C125" s="12"/>
      <c r="D125" s="12">
        <f t="shared" ref="D125" si="1152">0.5*(D124+D126)</f>
        <v>0.83000000000000007</v>
      </c>
      <c r="E125" s="12">
        <f t="shared" ref="E125" si="1153">0.5*(E124+E126)</f>
        <v>0.94</v>
      </c>
      <c r="F125" s="12">
        <f t="shared" ref="F125" si="1154">0.5*(F124+F126)</f>
        <v>1</v>
      </c>
      <c r="G125" s="12">
        <f t="shared" ref="G125" si="1155">0.5*(G124+G126)</f>
        <v>1</v>
      </c>
      <c r="H125" s="12">
        <f t="shared" ref="H125" si="1156">0.5*(H124+H126)</f>
        <v>1</v>
      </c>
      <c r="I125" s="12">
        <f t="shared" ref="I125" si="1157">0.5*(I124+I126)</f>
        <v>0.83</v>
      </c>
      <c r="J125" s="12">
        <f t="shared" ref="J125" si="1158">0.5*(J124+J126)</f>
        <v>0.72</v>
      </c>
      <c r="K125" s="12">
        <f t="shared" ref="K125" si="1159">0.5*(K124+K126)</f>
        <v>0.81</v>
      </c>
      <c r="L125" s="12">
        <f t="shared" ref="L125" si="1160">0.5*(L124+L126)</f>
        <v>1</v>
      </c>
      <c r="M125" s="12">
        <f t="shared" ref="M125" si="1161">0.5*(M124+M126)</f>
        <v>0.91499999999999992</v>
      </c>
      <c r="N125" s="12">
        <f t="shared" ref="N125" si="1162">0.5*(N124+N126)</f>
        <v>0.77499999999999991</v>
      </c>
      <c r="O125" s="12">
        <f t="shared" ref="O125" si="1163">0.5*(O124+O126)</f>
        <v>0.76500000000000001</v>
      </c>
      <c r="P125" s="12">
        <f t="shared" ref="P125" si="1164">0.5*(P124+P126)</f>
        <v>0.82000000000000006</v>
      </c>
      <c r="Q125" s="12">
        <f t="shared" ref="Q125" si="1165">0.5*(Q124+Q126)</f>
        <v>0.88500000000000001</v>
      </c>
      <c r="R125" s="12">
        <f t="shared" ref="R125" si="1166">0.5*(R124+R126)</f>
        <v>0.97</v>
      </c>
      <c r="S125" s="12">
        <f t="shared" ref="S125" si="1167">0.5*(S124+S126)</f>
        <v>1</v>
      </c>
      <c r="T125" s="13">
        <f t="shared" ref="T125" si="1168">0.5*(T124+T126)</f>
        <v>1</v>
      </c>
      <c r="U125" s="28"/>
      <c r="V125" s="29">
        <f t="shared" ref="V125" si="1169">0.5*(V124+V126)</f>
        <v>55</v>
      </c>
      <c r="W125" s="12"/>
      <c r="X125" s="12">
        <f t="shared" ref="X125" si="1170">0.5*(X124+X126)</f>
        <v>0.88500000000000001</v>
      </c>
      <c r="Y125" s="12">
        <f t="shared" ref="Y125" si="1171">0.5*(Y124+Y126)</f>
        <v>0.78500000000000003</v>
      </c>
      <c r="Z125" s="12">
        <f t="shared" ref="Z125" si="1172">0.5*(Z124+Z126)</f>
        <v>0.96499999999999997</v>
      </c>
      <c r="AA125" s="12">
        <f t="shared" ref="AA125" si="1173">0.5*(AA124+AA126)</f>
        <v>1</v>
      </c>
      <c r="AB125" s="12">
        <f t="shared" ref="AB125" si="1174">0.5*(AB124+AB126)</f>
        <v>0.92</v>
      </c>
      <c r="AC125" s="12">
        <f t="shared" ref="AC125" si="1175">0.5*(AC124+AC126)</f>
        <v>0.76</v>
      </c>
      <c r="AD125" s="12">
        <f t="shared" ref="AD125" si="1176">0.5*(AD124+AD126)</f>
        <v>0.92</v>
      </c>
      <c r="AE125" s="12">
        <f t="shared" ref="AE125" si="1177">0.5*(AE124+AE126)</f>
        <v>0.96</v>
      </c>
      <c r="AF125" s="12">
        <f t="shared" ref="AF125" si="1178">0.5*(AF124+AF126)</f>
        <v>0.92</v>
      </c>
      <c r="AG125" s="12">
        <f t="shared" ref="AG125" si="1179">0.5*(AG124+AG126)</f>
        <v>0.84</v>
      </c>
      <c r="AH125" s="12">
        <f t="shared" ref="AH125" si="1180">0.5*(AH124+AH126)</f>
        <v>0.84000000000000008</v>
      </c>
      <c r="AI125" s="12">
        <f t="shared" ref="AI125" si="1181">0.5*(AI124+AI126)</f>
        <v>0.94000000000000006</v>
      </c>
      <c r="AJ125" s="12">
        <f t="shared" ref="AJ125" si="1182">0.5*(AJ124+AJ126)</f>
        <v>0.92249999999999999</v>
      </c>
      <c r="AK125" s="12">
        <f t="shared" ref="AK125" si="1183">0.5*(AK124+AK126)</f>
        <v>0.83500000000000008</v>
      </c>
      <c r="AL125" s="12">
        <f t="shared" ref="AL125" si="1184">0.5*(AL124+AL126)</f>
        <v>0.875</v>
      </c>
      <c r="AM125" s="12">
        <f t="shared" ref="AM125" si="1185">0.5*(AM124+AM126)</f>
        <v>0.98249999999999993</v>
      </c>
      <c r="AN125" s="12">
        <f t="shared" ref="AN125" si="1186">0.5*(AN124+AN126)</f>
        <v>0.96</v>
      </c>
    </row>
    <row r="126" spans="2:40">
      <c r="B126" s="25">
        <v>60</v>
      </c>
      <c r="C126" s="18" t="s">
        <v>35</v>
      </c>
      <c r="D126" s="19" t="s">
        <v>61</v>
      </c>
      <c r="E126" s="19" t="s">
        <v>42</v>
      </c>
      <c r="F126" s="19" t="s">
        <v>36</v>
      </c>
      <c r="G126" s="19" t="s">
        <v>36</v>
      </c>
      <c r="H126" s="19" t="s">
        <v>36</v>
      </c>
      <c r="I126" s="19" t="s">
        <v>56</v>
      </c>
      <c r="J126" s="19" t="s">
        <v>95</v>
      </c>
      <c r="K126" s="19" t="s">
        <v>86</v>
      </c>
      <c r="L126" s="19" t="str">
        <f t="shared" si="994"/>
        <v>1,00</v>
      </c>
      <c r="M126" s="19">
        <f t="shared" si="995"/>
        <v>0.90999999999999992</v>
      </c>
      <c r="N126" s="19">
        <f t="shared" si="996"/>
        <v>0.75499999999999989</v>
      </c>
      <c r="O126" s="19">
        <f t="shared" si="997"/>
        <v>0.74</v>
      </c>
      <c r="P126" s="19">
        <f t="shared" si="998"/>
        <v>0.8</v>
      </c>
      <c r="Q126" s="19">
        <f t="shared" si="999"/>
        <v>0.87000000000000011</v>
      </c>
      <c r="R126" s="19">
        <f t="shared" si="1000"/>
        <v>0.96500000000000008</v>
      </c>
      <c r="S126" s="19">
        <f t="shared" si="1001"/>
        <v>1</v>
      </c>
      <c r="T126" s="19">
        <f t="shared" si="1002"/>
        <v>1</v>
      </c>
      <c r="V126" s="26">
        <v>60</v>
      </c>
      <c r="W126" s="18" t="s">
        <v>37</v>
      </c>
      <c r="X126" s="19" t="s">
        <v>49</v>
      </c>
      <c r="Y126" s="19" t="s">
        <v>92</v>
      </c>
      <c r="Z126" s="19" t="s">
        <v>40</v>
      </c>
      <c r="AA126" s="19" t="s">
        <v>36</v>
      </c>
      <c r="AB126" s="19" t="s">
        <v>44</v>
      </c>
      <c r="AC126" s="19" t="s">
        <v>53</v>
      </c>
      <c r="AD126" s="19" t="s">
        <v>45</v>
      </c>
      <c r="AE126" s="19" t="s">
        <v>40</v>
      </c>
      <c r="AF126" s="19" t="str">
        <f t="shared" si="1003"/>
        <v>0,92</v>
      </c>
      <c r="AG126" s="19">
        <f t="shared" si="1004"/>
        <v>0.82499999999999996</v>
      </c>
      <c r="AH126" s="19">
        <f t="shared" si="1005"/>
        <v>0.82000000000000006</v>
      </c>
      <c r="AI126" s="19">
        <f t="shared" si="1006"/>
        <v>0.93500000000000005</v>
      </c>
      <c r="AJ126" s="19">
        <f t="shared" si="1007"/>
        <v>0.91999999999999993</v>
      </c>
      <c r="AK126" s="19">
        <f t="shared" si="1008"/>
        <v>0.82000000000000006</v>
      </c>
      <c r="AL126" s="19">
        <f t="shared" si="1009"/>
        <v>0.86</v>
      </c>
      <c r="AM126" s="19">
        <f t="shared" si="1010"/>
        <v>0.98</v>
      </c>
      <c r="AN126" s="19">
        <f t="shared" si="1011"/>
        <v>0.96</v>
      </c>
    </row>
    <row r="127" spans="2:40">
      <c r="B127" s="27">
        <f>0.5*(B126+B128)</f>
        <v>65</v>
      </c>
      <c r="C127" s="12"/>
      <c r="D127" s="12">
        <f t="shared" ref="D127" si="1187">0.5*(D126+D128)</f>
        <v>0.78500000000000003</v>
      </c>
      <c r="E127" s="12">
        <f t="shared" ref="E127" si="1188">0.5*(E126+E128)</f>
        <v>0.91500000000000004</v>
      </c>
      <c r="F127" s="12">
        <f t="shared" ref="F127" si="1189">0.5*(F126+F128)</f>
        <v>1</v>
      </c>
      <c r="G127" s="12">
        <f t="shared" ref="G127" si="1190">0.5*(G126+G128)</f>
        <v>1</v>
      </c>
      <c r="H127" s="12">
        <f t="shared" ref="H127" si="1191">0.5*(H126+H128)</f>
        <v>1</v>
      </c>
      <c r="I127" s="12">
        <f t="shared" ref="I127" si="1192">0.5*(I126+I128)</f>
        <v>0.81499999999999995</v>
      </c>
      <c r="J127" s="12">
        <f t="shared" ref="J127" si="1193">0.5*(J126+J128)</f>
        <v>0.65500000000000003</v>
      </c>
      <c r="K127" s="12">
        <f t="shared" ref="K127" si="1194">0.5*(K126+K128)</f>
        <v>0.76</v>
      </c>
      <c r="L127" s="12">
        <f t="shared" ref="L127" si="1195">0.5*(L126+L128)</f>
        <v>1</v>
      </c>
      <c r="M127" s="12">
        <f t="shared" ref="M127" si="1196">0.5*(M126+M128)</f>
        <v>0.90749999999999997</v>
      </c>
      <c r="N127" s="12">
        <f t="shared" ref="N127" si="1197">0.5*(N126+N128)</f>
        <v>0.73499999999999999</v>
      </c>
      <c r="O127" s="12">
        <f t="shared" ref="O127" si="1198">0.5*(O126+O128)</f>
        <v>0.70750000000000002</v>
      </c>
      <c r="P127" s="12">
        <f t="shared" ref="P127" si="1199">0.5*(P126+P128)</f>
        <v>0.77249999999999996</v>
      </c>
      <c r="Q127" s="12">
        <f t="shared" ref="Q127" si="1200">0.5*(Q126+Q128)</f>
        <v>0.85000000000000009</v>
      </c>
      <c r="R127" s="12">
        <f t="shared" ref="R127" si="1201">0.5*(R126+R128)</f>
        <v>0.95750000000000002</v>
      </c>
      <c r="S127" s="12">
        <f t="shared" ref="S127" si="1202">0.5*(S126+S128)</f>
        <v>1</v>
      </c>
      <c r="T127" s="13">
        <f t="shared" ref="T127" si="1203">0.5*(T126+T128)</f>
        <v>1</v>
      </c>
      <c r="U127" s="28"/>
      <c r="V127" s="29">
        <f t="shared" ref="V127" si="1204">0.5*(V126+V128)</f>
        <v>65</v>
      </c>
      <c r="W127" s="12"/>
      <c r="X127" s="12">
        <f t="shared" ref="X127" si="1205">0.5*(X126+X128)</f>
        <v>0.87</v>
      </c>
      <c r="Y127" s="12">
        <f t="shared" ref="Y127" si="1206">0.5*(Y126+Y128)</f>
        <v>0.73499999999999999</v>
      </c>
      <c r="Z127" s="12">
        <f t="shared" ref="Z127" si="1207">0.5*(Z126+Z128)</f>
        <v>0.95</v>
      </c>
      <c r="AA127" s="12">
        <f t="shared" ref="AA127" si="1208">0.5*(AA126+AA128)</f>
        <v>1</v>
      </c>
      <c r="AB127" s="12">
        <f t="shared" ref="AB127" si="1209">0.5*(AB126+AB128)</f>
        <v>0.92</v>
      </c>
      <c r="AC127" s="12">
        <f t="shared" ref="AC127" si="1210">0.5*(AC126+AC128)</f>
        <v>0.69500000000000006</v>
      </c>
      <c r="AD127" s="12">
        <f t="shared" ref="AD127" si="1211">0.5*(AD126+AD128)</f>
        <v>0.89500000000000002</v>
      </c>
      <c r="AE127" s="12">
        <f t="shared" ref="AE127" si="1212">0.5*(AE126+AE128)</f>
        <v>0.95499999999999996</v>
      </c>
      <c r="AF127" s="12">
        <f t="shared" ref="AF127" si="1213">0.5*(AF126+AF128)</f>
        <v>0.92</v>
      </c>
      <c r="AG127" s="12">
        <f t="shared" ref="AG127" si="1214">0.5*(AG126+AG128)</f>
        <v>0.8075</v>
      </c>
      <c r="AH127" s="12">
        <f t="shared" ref="AH127" si="1215">0.5*(AH126+AH128)</f>
        <v>0.79500000000000004</v>
      </c>
      <c r="AI127" s="12">
        <f t="shared" ref="AI127" si="1216">0.5*(AI126+AI128)</f>
        <v>0.92500000000000004</v>
      </c>
      <c r="AJ127" s="12">
        <f t="shared" ref="AJ127" si="1217">0.5*(AJ126+AJ128)</f>
        <v>0.91249999999999998</v>
      </c>
      <c r="AK127" s="12">
        <f t="shared" ref="AK127" si="1218">0.5*(AK126+AK128)</f>
        <v>0.80249999999999999</v>
      </c>
      <c r="AL127" s="12">
        <f t="shared" ref="AL127" si="1219">0.5*(AL126+AL128)</f>
        <v>0.84250000000000003</v>
      </c>
      <c r="AM127" s="12">
        <f t="shared" ref="AM127" si="1220">0.5*(AM126+AM128)</f>
        <v>0.97499999999999998</v>
      </c>
      <c r="AN127" s="12">
        <f t="shared" ref="AN127" si="1221">0.5*(AN126+AN128)</f>
        <v>0.96</v>
      </c>
    </row>
    <row r="128" spans="2:40">
      <c r="B128" s="25">
        <v>70</v>
      </c>
      <c r="C128" s="18" t="s">
        <v>35</v>
      </c>
      <c r="D128" s="19" t="s">
        <v>92</v>
      </c>
      <c r="E128" s="19" t="s">
        <v>48</v>
      </c>
      <c r="F128" s="19" t="s">
        <v>36</v>
      </c>
      <c r="G128" s="19" t="s">
        <v>36</v>
      </c>
      <c r="H128" s="19" t="s">
        <v>36</v>
      </c>
      <c r="I128" s="19" t="s">
        <v>61</v>
      </c>
      <c r="J128" s="19" t="s">
        <v>58</v>
      </c>
      <c r="K128" s="19" t="s">
        <v>53</v>
      </c>
      <c r="L128" s="19" t="str">
        <f t="shared" si="994"/>
        <v>1,00</v>
      </c>
      <c r="M128" s="19">
        <f t="shared" si="995"/>
        <v>0.90500000000000003</v>
      </c>
      <c r="N128" s="19">
        <f t="shared" si="996"/>
        <v>0.71500000000000008</v>
      </c>
      <c r="O128" s="19">
        <f t="shared" si="997"/>
        <v>0.67500000000000004</v>
      </c>
      <c r="P128" s="19">
        <f t="shared" si="998"/>
        <v>0.745</v>
      </c>
      <c r="Q128" s="19">
        <f t="shared" si="999"/>
        <v>0.83000000000000007</v>
      </c>
      <c r="R128" s="19">
        <f t="shared" si="1000"/>
        <v>0.95</v>
      </c>
      <c r="S128" s="19">
        <f t="shared" si="1001"/>
        <v>1</v>
      </c>
      <c r="T128" s="19">
        <f t="shared" si="1002"/>
        <v>1</v>
      </c>
      <c r="V128" s="26">
        <v>70</v>
      </c>
      <c r="W128" s="18" t="s">
        <v>37</v>
      </c>
      <c r="X128" s="19" t="s">
        <v>47</v>
      </c>
      <c r="Y128" s="19" t="s">
        <v>122</v>
      </c>
      <c r="Z128" s="19" t="s">
        <v>43</v>
      </c>
      <c r="AA128" s="19" t="s">
        <v>36</v>
      </c>
      <c r="AB128" s="19" t="s">
        <v>44</v>
      </c>
      <c r="AC128" s="19" t="s">
        <v>96</v>
      </c>
      <c r="AD128" s="19" t="s">
        <v>49</v>
      </c>
      <c r="AE128" s="19" t="s">
        <v>41</v>
      </c>
      <c r="AF128" s="19" t="str">
        <f t="shared" si="1003"/>
        <v>0,92</v>
      </c>
      <c r="AG128" s="19">
        <f t="shared" si="1004"/>
        <v>0.79</v>
      </c>
      <c r="AH128" s="19">
        <f t="shared" si="1005"/>
        <v>0.77</v>
      </c>
      <c r="AI128" s="19">
        <f t="shared" si="1006"/>
        <v>0.91500000000000004</v>
      </c>
      <c r="AJ128" s="19">
        <f t="shared" si="1007"/>
        <v>0.90500000000000003</v>
      </c>
      <c r="AK128" s="19">
        <f t="shared" si="1008"/>
        <v>0.78499999999999992</v>
      </c>
      <c r="AL128" s="19">
        <f t="shared" si="1009"/>
        <v>0.82499999999999996</v>
      </c>
      <c r="AM128" s="19">
        <f t="shared" si="1010"/>
        <v>0.97</v>
      </c>
      <c r="AN128" s="19">
        <f t="shared" si="1011"/>
        <v>0.96</v>
      </c>
    </row>
    <row r="129" spans="2:40">
      <c r="B129" s="27">
        <f>0.5*(B128+B130)</f>
        <v>75</v>
      </c>
      <c r="C129" s="12"/>
      <c r="D129" s="12">
        <f t="shared" ref="D129" si="1222">0.5*(D128+D130)</f>
        <v>0.76</v>
      </c>
      <c r="E129" s="12">
        <f t="shared" ref="E129" si="1223">0.5*(E128+E130)</f>
        <v>0.9</v>
      </c>
      <c r="F129" s="12">
        <f t="shared" ref="F129" si="1224">0.5*(F128+F130)</f>
        <v>1</v>
      </c>
      <c r="G129" s="12">
        <f t="shared" ref="G129" si="1225">0.5*(G128+G130)</f>
        <v>1</v>
      </c>
      <c r="H129" s="12">
        <f t="shared" ref="H129" si="1226">0.5*(H128+H130)</f>
        <v>1</v>
      </c>
      <c r="I129" s="12">
        <f t="shared" ref="I129" si="1227">0.5*(I128+I130)</f>
        <v>0.81</v>
      </c>
      <c r="J129" s="12">
        <f t="shared" ref="J129" si="1228">0.5*(J128+J130)</f>
        <v>0.62</v>
      </c>
      <c r="K129" s="12">
        <f t="shared" ref="K129" si="1229">0.5*(K128+K130)</f>
        <v>0.73</v>
      </c>
      <c r="L129" s="12">
        <f t="shared" ref="L129" si="1230">0.5*(L128+L130)</f>
        <v>1</v>
      </c>
      <c r="M129" s="12">
        <f t="shared" ref="M129" si="1231">0.5*(M128+M130)</f>
        <v>0.90500000000000003</v>
      </c>
      <c r="N129" s="12">
        <f t="shared" ref="N129" si="1232">0.5*(N128+N130)</f>
        <v>0.71500000000000008</v>
      </c>
      <c r="O129" s="12">
        <f t="shared" ref="O129" si="1233">0.5*(O128+O130)</f>
        <v>0.67500000000000004</v>
      </c>
      <c r="P129" s="12">
        <f t="shared" ref="P129" si="1234">0.5*(P128+P130)</f>
        <v>0.745</v>
      </c>
      <c r="Q129" s="12">
        <f t="shared" ref="Q129" si="1235">0.5*(Q128+Q130)</f>
        <v>0.83000000000000007</v>
      </c>
      <c r="R129" s="12">
        <f t="shared" ref="R129" si="1236">0.5*(R128+R130)</f>
        <v>0.95</v>
      </c>
      <c r="S129" s="12">
        <f t="shared" ref="S129" si="1237">0.5*(S128+S130)</f>
        <v>1</v>
      </c>
      <c r="T129" s="13">
        <f t="shared" ref="T129" si="1238">0.5*(T128+T130)</f>
        <v>1</v>
      </c>
      <c r="U129" s="28"/>
      <c r="V129" s="29">
        <f t="shared" ref="V129" si="1239">0.5*(V128+V130)</f>
        <v>75</v>
      </c>
      <c r="W129" s="12"/>
      <c r="X129" s="12">
        <f t="shared" ref="X129" si="1240">0.5*(X128+X130)</f>
        <v>0.86</v>
      </c>
      <c r="Y129" s="12">
        <f t="shared" ref="Y129" si="1241">0.5*(Y128+Y130)</f>
        <v>0.71</v>
      </c>
      <c r="Z129" s="12">
        <f t="shared" ref="Z129" si="1242">0.5*(Z128+Z130)</f>
        <v>0.94</v>
      </c>
      <c r="AA129" s="12">
        <f t="shared" ref="AA129" si="1243">0.5*(AA128+AA130)</f>
        <v>1</v>
      </c>
      <c r="AB129" s="12">
        <f t="shared" ref="AB129" si="1244">0.5*(AB128+AB130)</f>
        <v>0.92</v>
      </c>
      <c r="AC129" s="12">
        <f t="shared" ref="AC129" si="1245">0.5*(AC128+AC130)</f>
        <v>0.66</v>
      </c>
      <c r="AD129" s="12">
        <f t="shared" ref="AD129" si="1246">0.5*(AD128+AD130)</f>
        <v>0.88</v>
      </c>
      <c r="AE129" s="12">
        <f t="shared" ref="AE129" si="1247">0.5*(AE128+AE130)</f>
        <v>0.95</v>
      </c>
      <c r="AF129" s="12">
        <f t="shared" ref="AF129" si="1248">0.5*(AF128+AF130)</f>
        <v>0.92</v>
      </c>
      <c r="AG129" s="12">
        <f t="shared" ref="AG129" si="1249">0.5*(AG128+AG130)</f>
        <v>0.79</v>
      </c>
      <c r="AH129" s="12">
        <f t="shared" ref="AH129" si="1250">0.5*(AH128+AH130)</f>
        <v>0.77</v>
      </c>
      <c r="AI129" s="12">
        <f t="shared" ref="AI129" si="1251">0.5*(AI128+AI130)</f>
        <v>0.91500000000000004</v>
      </c>
      <c r="AJ129" s="12">
        <f t="shared" ref="AJ129" si="1252">0.5*(AJ128+AJ130)</f>
        <v>0.90500000000000003</v>
      </c>
      <c r="AK129" s="12">
        <f t="shared" ref="AK129" si="1253">0.5*(AK128+AK130)</f>
        <v>0.78499999999999992</v>
      </c>
      <c r="AL129" s="12">
        <f t="shared" ref="AL129" si="1254">0.5*(AL128+AL130)</f>
        <v>0.82499999999999996</v>
      </c>
      <c r="AM129" s="12">
        <f t="shared" ref="AM129" si="1255">0.5*(AM128+AM130)</f>
        <v>0.97</v>
      </c>
      <c r="AN129" s="12">
        <f t="shared" ref="AN129" si="1256">0.5*(AN128+AN130)</f>
        <v>0.96</v>
      </c>
    </row>
    <row r="130" spans="2:40">
      <c r="B130" s="25">
        <v>80</v>
      </c>
      <c r="C130" s="18" t="s">
        <v>35</v>
      </c>
      <c r="D130" s="19" t="s">
        <v>92</v>
      </c>
      <c r="E130" s="19" t="s">
        <v>48</v>
      </c>
      <c r="F130" s="19" t="s">
        <v>36</v>
      </c>
      <c r="G130" s="19" t="s">
        <v>36</v>
      </c>
      <c r="H130" s="19" t="s">
        <v>36</v>
      </c>
      <c r="I130" s="19" t="s">
        <v>61</v>
      </c>
      <c r="J130" s="19" t="s">
        <v>58</v>
      </c>
      <c r="K130" s="19" t="s">
        <v>53</v>
      </c>
      <c r="L130" s="19" t="str">
        <f t="shared" si="994"/>
        <v>1,00</v>
      </c>
      <c r="M130" s="19">
        <f t="shared" si="995"/>
        <v>0.90500000000000003</v>
      </c>
      <c r="N130" s="19">
        <f t="shared" si="996"/>
        <v>0.71500000000000008</v>
      </c>
      <c r="O130" s="19">
        <f t="shared" si="997"/>
        <v>0.67500000000000004</v>
      </c>
      <c r="P130" s="19">
        <f t="shared" si="998"/>
        <v>0.745</v>
      </c>
      <c r="Q130" s="19">
        <f t="shared" si="999"/>
        <v>0.83000000000000007</v>
      </c>
      <c r="R130" s="19">
        <f t="shared" si="1000"/>
        <v>0.95</v>
      </c>
      <c r="S130" s="19">
        <f t="shared" si="1001"/>
        <v>1</v>
      </c>
      <c r="T130" s="19">
        <f t="shared" si="1002"/>
        <v>1</v>
      </c>
      <c r="V130" s="26">
        <v>80</v>
      </c>
      <c r="W130" s="18" t="s">
        <v>37</v>
      </c>
      <c r="X130" s="19" t="s">
        <v>47</v>
      </c>
      <c r="Y130" s="19" t="s">
        <v>122</v>
      </c>
      <c r="Z130" s="19" t="s">
        <v>43</v>
      </c>
      <c r="AA130" s="19" t="s">
        <v>36</v>
      </c>
      <c r="AB130" s="19" t="s">
        <v>44</v>
      </c>
      <c r="AC130" s="19" t="s">
        <v>96</v>
      </c>
      <c r="AD130" s="19" t="s">
        <v>49</v>
      </c>
      <c r="AE130" s="19" t="s">
        <v>41</v>
      </c>
      <c r="AF130" s="19" t="str">
        <f t="shared" si="1003"/>
        <v>0,92</v>
      </c>
      <c r="AG130" s="19">
        <f t="shared" si="1004"/>
        <v>0.79</v>
      </c>
      <c r="AH130" s="19">
        <f t="shared" si="1005"/>
        <v>0.77</v>
      </c>
      <c r="AI130" s="19">
        <f t="shared" si="1006"/>
        <v>0.91500000000000004</v>
      </c>
      <c r="AJ130" s="19">
        <f t="shared" si="1007"/>
        <v>0.90500000000000003</v>
      </c>
      <c r="AK130" s="19">
        <f t="shared" si="1008"/>
        <v>0.78499999999999992</v>
      </c>
      <c r="AL130" s="19">
        <f t="shared" si="1009"/>
        <v>0.82499999999999996</v>
      </c>
      <c r="AM130" s="19">
        <f t="shared" si="1010"/>
        <v>0.97</v>
      </c>
      <c r="AN130" s="19">
        <f t="shared" si="1011"/>
        <v>0.96</v>
      </c>
    </row>
    <row r="131" spans="2:40">
      <c r="B131" s="27">
        <f>0.5*(B130+B132)</f>
        <v>85</v>
      </c>
      <c r="C131" s="12"/>
      <c r="D131" s="12">
        <f t="shared" ref="D131" si="1257">0.5*(D130+D132)</f>
        <v>0.76</v>
      </c>
      <c r="E131" s="12">
        <f t="shared" ref="E131" si="1258">0.5*(E130+E132)</f>
        <v>0.9</v>
      </c>
      <c r="F131" s="12">
        <f t="shared" ref="F131" si="1259">0.5*(F130+F132)</f>
        <v>1</v>
      </c>
      <c r="G131" s="12">
        <f t="shared" ref="G131" si="1260">0.5*(G130+G132)</f>
        <v>1</v>
      </c>
      <c r="H131" s="12">
        <f t="shared" ref="H131" si="1261">0.5*(H130+H132)</f>
        <v>1</v>
      </c>
      <c r="I131" s="12">
        <f t="shared" ref="I131" si="1262">0.5*(I130+I132)</f>
        <v>0.81</v>
      </c>
      <c r="J131" s="12">
        <f t="shared" ref="J131" si="1263">0.5*(J130+J132)</f>
        <v>0.62</v>
      </c>
      <c r="K131" s="12">
        <f t="shared" ref="K131" si="1264">0.5*(K130+K132)</f>
        <v>0.73</v>
      </c>
      <c r="L131" s="12">
        <f t="shared" ref="L131" si="1265">0.5*(L130+L132)</f>
        <v>1</v>
      </c>
      <c r="M131" s="12">
        <f t="shared" ref="M131" si="1266">0.5*(M130+M132)</f>
        <v>0.90500000000000003</v>
      </c>
      <c r="N131" s="12">
        <f t="shared" ref="N131" si="1267">0.5*(N130+N132)</f>
        <v>0.71500000000000008</v>
      </c>
      <c r="O131" s="12">
        <f t="shared" ref="O131" si="1268">0.5*(O130+O132)</f>
        <v>0.67500000000000004</v>
      </c>
      <c r="P131" s="12">
        <f t="shared" ref="P131" si="1269">0.5*(P130+P132)</f>
        <v>0.745</v>
      </c>
      <c r="Q131" s="12">
        <f t="shared" ref="Q131" si="1270">0.5*(Q130+Q132)</f>
        <v>0.83000000000000007</v>
      </c>
      <c r="R131" s="12">
        <f t="shared" ref="R131" si="1271">0.5*(R130+R132)</f>
        <v>0.95</v>
      </c>
      <c r="S131" s="12">
        <f t="shared" ref="S131" si="1272">0.5*(S130+S132)</f>
        <v>1</v>
      </c>
      <c r="T131" s="13">
        <f t="shared" ref="T131" si="1273">0.5*(T130+T132)</f>
        <v>1</v>
      </c>
      <c r="U131" s="28"/>
      <c r="V131" s="29">
        <f t="shared" ref="V131" si="1274">0.5*(V130+V132)</f>
        <v>85</v>
      </c>
      <c r="W131" s="12"/>
      <c r="X131" s="12">
        <f t="shared" ref="X131" si="1275">0.5*(X130+X132)</f>
        <v>0.86</v>
      </c>
      <c r="Y131" s="12">
        <f t="shared" ref="Y131" si="1276">0.5*(Y130+Y132)</f>
        <v>0.71</v>
      </c>
      <c r="Z131" s="12">
        <f t="shared" ref="Z131" si="1277">0.5*(Z130+Z132)</f>
        <v>0.94</v>
      </c>
      <c r="AA131" s="12">
        <f t="shared" ref="AA131" si="1278">0.5*(AA130+AA132)</f>
        <v>1</v>
      </c>
      <c r="AB131" s="12">
        <f t="shared" ref="AB131" si="1279">0.5*(AB130+AB132)</f>
        <v>0.92</v>
      </c>
      <c r="AC131" s="12">
        <f t="shared" ref="AC131" si="1280">0.5*(AC130+AC132)</f>
        <v>0.66</v>
      </c>
      <c r="AD131" s="12">
        <f t="shared" ref="AD131" si="1281">0.5*(AD130+AD132)</f>
        <v>0.88</v>
      </c>
      <c r="AE131" s="12">
        <f t="shared" ref="AE131" si="1282">0.5*(AE130+AE132)</f>
        <v>0.95</v>
      </c>
      <c r="AF131" s="12">
        <f t="shared" ref="AF131" si="1283">0.5*(AF130+AF132)</f>
        <v>0.92</v>
      </c>
      <c r="AG131" s="12">
        <f t="shared" ref="AG131" si="1284">0.5*(AG130+AG132)</f>
        <v>0.79</v>
      </c>
      <c r="AH131" s="12">
        <f t="shared" ref="AH131" si="1285">0.5*(AH130+AH132)</f>
        <v>0.77</v>
      </c>
      <c r="AI131" s="12">
        <f t="shared" ref="AI131" si="1286">0.5*(AI130+AI132)</f>
        <v>0.91500000000000004</v>
      </c>
      <c r="AJ131" s="12">
        <f t="shared" ref="AJ131" si="1287">0.5*(AJ130+AJ132)</f>
        <v>0.90500000000000003</v>
      </c>
      <c r="AK131" s="12">
        <f t="shared" ref="AK131" si="1288">0.5*(AK130+AK132)</f>
        <v>0.78499999999999992</v>
      </c>
      <c r="AL131" s="12">
        <f t="shared" ref="AL131" si="1289">0.5*(AL130+AL132)</f>
        <v>0.82499999999999996</v>
      </c>
      <c r="AM131" s="12">
        <f t="shared" ref="AM131" si="1290">0.5*(AM130+AM132)</f>
        <v>0.97</v>
      </c>
      <c r="AN131" s="12">
        <f t="shared" ref="AN131" si="1291">0.5*(AN130+AN132)</f>
        <v>0.96</v>
      </c>
    </row>
    <row r="132" spans="2:40">
      <c r="B132" s="25">
        <v>90</v>
      </c>
      <c r="C132" s="18" t="s">
        <v>35</v>
      </c>
      <c r="D132" s="19" t="s">
        <v>92</v>
      </c>
      <c r="E132" s="19" t="s">
        <v>48</v>
      </c>
      <c r="F132" s="19" t="s">
        <v>36</v>
      </c>
      <c r="G132" s="19" t="s">
        <v>36</v>
      </c>
      <c r="H132" s="19" t="s">
        <v>36</v>
      </c>
      <c r="I132" s="19" t="s">
        <v>61</v>
      </c>
      <c r="J132" s="19" t="s">
        <v>58</v>
      </c>
      <c r="K132" s="19" t="s">
        <v>53</v>
      </c>
      <c r="L132" s="19" t="str">
        <f t="shared" si="994"/>
        <v>1,00</v>
      </c>
      <c r="M132" s="19">
        <f t="shared" si="995"/>
        <v>0.90500000000000003</v>
      </c>
      <c r="N132" s="19">
        <f t="shared" si="996"/>
        <v>0.71500000000000008</v>
      </c>
      <c r="O132" s="19">
        <f t="shared" si="997"/>
        <v>0.67500000000000004</v>
      </c>
      <c r="P132" s="19">
        <f t="shared" si="998"/>
        <v>0.745</v>
      </c>
      <c r="Q132" s="19">
        <f t="shared" si="999"/>
        <v>0.83000000000000007</v>
      </c>
      <c r="R132" s="19">
        <f t="shared" si="1000"/>
        <v>0.95</v>
      </c>
      <c r="S132" s="19">
        <f t="shared" si="1001"/>
        <v>1</v>
      </c>
      <c r="T132" s="19">
        <f t="shared" si="1002"/>
        <v>1</v>
      </c>
      <c r="V132" s="26">
        <v>90</v>
      </c>
      <c r="W132" s="18" t="s">
        <v>37</v>
      </c>
      <c r="X132" s="19" t="s">
        <v>47</v>
      </c>
      <c r="Y132" s="19" t="s">
        <v>122</v>
      </c>
      <c r="Z132" s="19" t="s">
        <v>43</v>
      </c>
      <c r="AA132" s="19" t="s">
        <v>36</v>
      </c>
      <c r="AB132" s="19" t="s">
        <v>44</v>
      </c>
      <c r="AC132" s="19" t="s">
        <v>96</v>
      </c>
      <c r="AD132" s="19" t="s">
        <v>49</v>
      </c>
      <c r="AE132" s="19" t="s">
        <v>41</v>
      </c>
      <c r="AF132" s="19" t="str">
        <f t="shared" si="1003"/>
        <v>0,92</v>
      </c>
      <c r="AG132" s="19">
        <f t="shared" si="1004"/>
        <v>0.79</v>
      </c>
      <c r="AH132" s="19">
        <f t="shared" si="1005"/>
        <v>0.77</v>
      </c>
      <c r="AI132" s="19">
        <f t="shared" si="1006"/>
        <v>0.91500000000000004</v>
      </c>
      <c r="AJ132" s="19">
        <f t="shared" si="1007"/>
        <v>0.90500000000000003</v>
      </c>
      <c r="AK132" s="19">
        <f t="shared" si="1008"/>
        <v>0.78499999999999992</v>
      </c>
      <c r="AL132" s="19">
        <f t="shared" si="1009"/>
        <v>0.82499999999999996</v>
      </c>
      <c r="AM132" s="19">
        <f t="shared" si="1010"/>
        <v>0.97</v>
      </c>
      <c r="AN132" s="19">
        <f t="shared" si="1011"/>
        <v>0.96</v>
      </c>
    </row>
    <row r="136" spans="2:40">
      <c r="C136" s="192"/>
      <c r="D136" s="192"/>
      <c r="E136" s="192"/>
      <c r="F136" s="192"/>
      <c r="G136" s="192"/>
      <c r="H136" s="192"/>
      <c r="I136" s="192"/>
      <c r="J136" s="866" t="s">
        <v>428</v>
      </c>
      <c r="K136" s="866"/>
      <c r="L136" s="866"/>
      <c r="M136" s="866"/>
      <c r="N136" s="192"/>
      <c r="O136" s="192"/>
      <c r="P136" s="192"/>
    </row>
    <row r="137" spans="2:40" ht="14.4">
      <c r="C137" s="192"/>
      <c r="D137" s="197" t="s">
        <v>431</v>
      </c>
      <c r="E137" s="198" t="s">
        <v>415</v>
      </c>
      <c r="F137" s="198" t="s">
        <v>416</v>
      </c>
      <c r="G137" s="198" t="s">
        <v>417</v>
      </c>
      <c r="H137" s="193"/>
      <c r="I137" s="193"/>
      <c r="J137" s="193"/>
      <c r="K137" s="193"/>
      <c r="L137" s="193"/>
      <c r="M137" s="193"/>
      <c r="N137" s="193"/>
      <c r="O137" s="193"/>
      <c r="P137" s="193"/>
    </row>
    <row r="138" spans="2:40" ht="14.4" customHeight="1">
      <c r="C138" s="192"/>
      <c r="D138" s="198" t="s">
        <v>418</v>
      </c>
      <c r="E138" s="194" t="s">
        <v>421</v>
      </c>
      <c r="F138" s="194" t="s">
        <v>422</v>
      </c>
      <c r="G138" s="194" t="s">
        <v>423</v>
      </c>
      <c r="H138" s="193"/>
      <c r="I138" s="862" t="s">
        <v>432</v>
      </c>
      <c r="J138" s="863"/>
      <c r="K138" s="863"/>
      <c r="L138" s="863"/>
      <c r="M138" s="864" t="s">
        <v>434</v>
      </c>
      <c r="N138" s="865"/>
      <c r="O138" s="865"/>
      <c r="P138" s="865"/>
    </row>
    <row r="139" spans="2:40" ht="14.4">
      <c r="C139" s="192"/>
      <c r="D139" s="198" t="s">
        <v>419</v>
      </c>
      <c r="E139" s="194" t="s">
        <v>422</v>
      </c>
      <c r="F139" s="198" t="s">
        <v>424</v>
      </c>
      <c r="G139" s="194" t="s">
        <v>425</v>
      </c>
      <c r="H139" s="193"/>
      <c r="I139" s="862" t="s">
        <v>433</v>
      </c>
      <c r="J139" s="863"/>
      <c r="K139" s="863"/>
      <c r="L139" s="863"/>
      <c r="M139" s="865"/>
      <c r="N139" s="865"/>
      <c r="O139" s="865"/>
      <c r="P139" s="865"/>
    </row>
    <row r="140" spans="2:40" ht="14.4">
      <c r="C140" s="192"/>
      <c r="D140" s="198" t="s">
        <v>420</v>
      </c>
      <c r="E140" s="194" t="s">
        <v>426</v>
      </c>
      <c r="F140" s="194" t="s">
        <v>425</v>
      </c>
      <c r="G140" s="194" t="s">
        <v>427</v>
      </c>
      <c r="H140" s="193"/>
      <c r="I140" s="193"/>
      <c r="J140" s="193"/>
      <c r="K140" s="193"/>
      <c r="L140" s="193"/>
      <c r="M140" s="196" t="s">
        <v>430</v>
      </c>
      <c r="N140" s="193"/>
      <c r="O140" s="193"/>
      <c r="P140" s="193"/>
    </row>
    <row r="141" spans="2:40">
      <c r="C141" s="192"/>
      <c r="D141" s="192"/>
      <c r="E141" s="192"/>
      <c r="F141" s="192"/>
      <c r="G141" s="192"/>
      <c r="H141" s="195" t="s">
        <v>429</v>
      </c>
      <c r="I141" s="195"/>
      <c r="J141" s="192"/>
      <c r="K141" s="192"/>
      <c r="L141" s="192"/>
      <c r="M141" s="192"/>
      <c r="N141" s="192"/>
      <c r="O141" s="192"/>
      <c r="P141" s="192"/>
    </row>
  </sheetData>
  <mergeCells count="30">
    <mergeCell ref="I138:L138"/>
    <mergeCell ref="I139:L139"/>
    <mergeCell ref="M138:P139"/>
    <mergeCell ref="J136:M136"/>
    <mergeCell ref="D4:K4"/>
    <mergeCell ref="B87:K87"/>
    <mergeCell ref="B88:B89"/>
    <mergeCell ref="C88:C89"/>
    <mergeCell ref="D88:K88"/>
    <mergeCell ref="B112:B113"/>
    <mergeCell ref="C112:C113"/>
    <mergeCell ref="D112:K112"/>
    <mergeCell ref="B111:K111"/>
    <mergeCell ref="X4:AE4"/>
    <mergeCell ref="B45:U45"/>
    <mergeCell ref="B46:B47"/>
    <mergeCell ref="C46:C47"/>
    <mergeCell ref="D46:K46"/>
    <mergeCell ref="V45:AF45"/>
    <mergeCell ref="V46:V47"/>
    <mergeCell ref="W46:W47"/>
    <mergeCell ref="X46:AE46"/>
    <mergeCell ref="V112:V113"/>
    <mergeCell ref="W112:W113"/>
    <mergeCell ref="X112:AE112"/>
    <mergeCell ref="V87:AE87"/>
    <mergeCell ref="V88:V89"/>
    <mergeCell ref="W88:W89"/>
    <mergeCell ref="X88:AE88"/>
    <mergeCell ref="V111:AE1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4</vt:i4>
      </vt:variant>
    </vt:vector>
  </HeadingPairs>
  <TitlesOfParts>
    <vt:vector size="7" baseType="lpstr">
      <vt:lpstr>ΥΠΟΛΟΓΙΣΜΟΙ</vt:lpstr>
      <vt:lpstr>sys</vt:lpstr>
      <vt:lpstr>pin</vt:lpstr>
      <vt:lpstr>ΥΠΟΛΟΓΙΣΜΟΙ!α</vt:lpstr>
      <vt:lpstr>ΥΠΟΛΟΓΙΣΜΟΙ!β</vt:lpstr>
      <vt:lpstr>ΔΤ</vt:lpstr>
      <vt:lpstr>ΔΤ1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dc:creator>
  <cp:lastModifiedBy>Astra</cp:lastModifiedBy>
  <cp:lastPrinted>2017-06-26T13:15:24Z</cp:lastPrinted>
  <dcterms:created xsi:type="dcterms:W3CDTF">2016-01-17T09:21:05Z</dcterms:created>
  <dcterms:modified xsi:type="dcterms:W3CDTF">2017-06-27T10:36:46Z</dcterms:modified>
</cp:coreProperties>
</file>